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tabRatio="606" firstSheet="2" activeTab="2"/>
  </bookViews>
  <sheets>
    <sheet name="Sheet1" sheetId="13" state="hidden" r:id="rId1"/>
    <sheet name="中框高光版-蓝色、黄色" sheetId="32" state="hidden" r:id="rId2"/>
    <sheet name="成本单" sheetId="43" r:id="rId3"/>
    <sheet name="Sheet5" sheetId="51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_____pa1">#REF!</definedName>
    <definedName name="_________pa2">#REF!</definedName>
    <definedName name="_________PA3">#REF!</definedName>
    <definedName name="_________PA4">#REF!</definedName>
    <definedName name="_________PA5">#REF!</definedName>
    <definedName name="_________PA6">#REF!</definedName>
    <definedName name="_________srw19">[1]E!#REF!</definedName>
    <definedName name="________pa1">#REF!</definedName>
    <definedName name="________pa2">#REF!</definedName>
    <definedName name="________PA3">#REF!</definedName>
    <definedName name="________PA4">#REF!</definedName>
    <definedName name="________PA5">#REF!</definedName>
    <definedName name="________PA6">#REF!</definedName>
    <definedName name="________srw19">[1]E!#REF!</definedName>
    <definedName name="_______pa1">#REF!</definedName>
    <definedName name="_______pa2">#REF!</definedName>
    <definedName name="_______PA3">#REF!</definedName>
    <definedName name="_______PA4">#REF!</definedName>
    <definedName name="_______PA5">#REF!</definedName>
    <definedName name="_______PA6">#REF!</definedName>
    <definedName name="_______srw19">[1]E!#REF!</definedName>
    <definedName name="______pa1">#REF!</definedName>
    <definedName name="______pa2">#REF!</definedName>
    <definedName name="______PA3">#REF!</definedName>
    <definedName name="______PA4">#REF!</definedName>
    <definedName name="______PA5">#REF!</definedName>
    <definedName name="______PA6">#REF!</definedName>
    <definedName name="______srw19">[1]E!#REF!</definedName>
    <definedName name="_____pa1">#REF!</definedName>
    <definedName name="_____pa2">#REF!</definedName>
    <definedName name="_____PA3">#REF!</definedName>
    <definedName name="_____PA4">#REF!</definedName>
    <definedName name="_____PA5">#REF!</definedName>
    <definedName name="_____PA6">#REF!</definedName>
    <definedName name="_____srw19">[1]E!#REF!</definedName>
    <definedName name="____pa1">#REF!</definedName>
    <definedName name="____pa2">#REF!</definedName>
    <definedName name="____PA3">#REF!</definedName>
    <definedName name="____PA4">#REF!</definedName>
    <definedName name="____PA5">#REF!</definedName>
    <definedName name="____PA6">#REF!</definedName>
    <definedName name="____srw19">[1]E!#REF!</definedName>
    <definedName name="___pa1">#REF!</definedName>
    <definedName name="___pa2">#REF!</definedName>
    <definedName name="___PA3">#REF!</definedName>
    <definedName name="___PA4">#REF!</definedName>
    <definedName name="___PA5">#REF!</definedName>
    <definedName name="___PA6">#REF!</definedName>
    <definedName name="___srw19">[1]E!#REF!</definedName>
    <definedName name="__pa1">#REF!</definedName>
    <definedName name="__pa2">#REF!</definedName>
    <definedName name="__PA3">#REF!</definedName>
    <definedName name="__PA4">#REF!</definedName>
    <definedName name="__PA5">#REF!</definedName>
    <definedName name="__PA6">#REF!</definedName>
    <definedName name="__srw19">[1]E!#REF!</definedName>
    <definedName name="_pa1">#REF!</definedName>
    <definedName name="_pa2">#REF!</definedName>
    <definedName name="_PA3">#REF!</definedName>
    <definedName name="_PA4">#REF!</definedName>
    <definedName name="_PA5">#REF!</definedName>
    <definedName name="_PA6">#REF!</definedName>
    <definedName name="_srw19">[1]E!#REF!</definedName>
    <definedName name="A">#REF!</definedName>
    <definedName name="AAA">[2]仕掛!#REF!</definedName>
    <definedName name="ADSF">[2]仕掛!#REF!</definedName>
    <definedName name="autoexec">[2]仕掛!#REF!</definedName>
    <definedName name="B">#REF!</definedName>
    <definedName name="cc">#REF!</definedName>
    <definedName name="D">#REF!</definedName>
    <definedName name="data">OFFSET([3]IE汇总!$G$3,0,[3]IE汇总!$C$24,[3]IE汇总!$B$24,1)</definedName>
    <definedName name="Database" hidden="1">#REF!</definedName>
    <definedName name="DDDD">#REF!</definedName>
    <definedName name="DSFAD">[4]D!#REF!</definedName>
    <definedName name="DSFAD1">[4]D!#REF!</definedName>
    <definedName name="ee">#REF!</definedName>
    <definedName name="eee">#REF!</definedName>
    <definedName name="h">#REF!</definedName>
    <definedName name="L">#REF!</definedName>
    <definedName name="lkrtclcrcrcr9dldk">[2]仕掛!#REF!</definedName>
    <definedName name="lkrtclcrcrcrcr9dldk">[2]仕掛!#REF!</definedName>
    <definedName name="m">#REF!</definedName>
    <definedName name="N">#REF!</definedName>
    <definedName name="name">OFFSET([3]IE汇总!$F$3,0,0,[3]IE汇总!$B$24,1)</definedName>
    <definedName name="POR3C1R8C11rtM0tb0tb176tb6tb6rt">#REF!</definedName>
    <definedName name="Q">#REF!</definedName>
    <definedName name="QA">#REF!</definedName>
    <definedName name="shown">#REF!</definedName>
    <definedName name="SRW">[4]D!#REF!</definedName>
    <definedName name="tsrtytlc呎臾a2rt">#REF!</definedName>
    <definedName name="type">#REF!</definedName>
    <definedName name="z">#REF!</definedName>
    <definedName name="廠_長">[5]A!#REF!</definedName>
    <definedName name="统计单">#REF!</definedName>
    <definedName name="物料单价">#REF!</definedName>
    <definedName name="照片">INDEX([6]目录!$G$3:$G$60,MATCH([6]薪资物耗费用预算!$E$2,[6]目录!$F$3:$F$60,0))</definedName>
  </definedNames>
  <calcPr calcId="144525"/>
</workbook>
</file>

<file path=xl/comments1.xml><?xml version="1.0" encoding="utf-8"?>
<comments xmlns="http://schemas.openxmlformats.org/spreadsheetml/2006/main">
  <authors>
    <author>作者</author>
    <author>黄慧敏</author>
    <author>tdkj</author>
  </authors>
  <commentList>
    <comment ref="X6" authorId="0">
      <text>
        <r>
          <rPr>
            <b/>
            <sz val="9"/>
            <rFont val="宋体"/>
            <charset val="134"/>
          </rPr>
          <t>王友欣已确认</t>
        </r>
      </text>
    </comment>
    <comment ref="N8" authorId="1">
      <text>
        <r>
          <rPr>
            <b/>
            <sz val="9"/>
            <rFont val="宋体"/>
            <charset val="134"/>
          </rPr>
          <t>侧键FPC更改为一个导电布，减6人，螺母加一个不用加人，增加电晕即达因值测试加2人</t>
        </r>
        <r>
          <rPr>
            <sz val="9"/>
            <rFont val="宋体"/>
            <charset val="134"/>
          </rPr>
          <t xml:space="preserve">
</t>
        </r>
      </text>
    </comment>
    <comment ref="S8" authorId="0">
      <text>
        <r>
          <rPr>
            <b/>
            <sz val="9"/>
            <rFont val="宋体"/>
            <charset val="134"/>
          </rPr>
          <t>含音频成本0.1元</t>
        </r>
        <r>
          <rPr>
            <sz val="9"/>
            <rFont val="宋体"/>
            <charset val="134"/>
          </rPr>
          <t xml:space="preserve">
</t>
        </r>
      </text>
    </comment>
    <comment ref="X9" authorId="0">
      <text>
        <r>
          <rPr>
            <sz val="9"/>
            <rFont val="宋体"/>
            <charset val="134"/>
          </rPr>
          <t xml:space="preserve">有志确认
</t>
        </r>
      </text>
    </comment>
    <comment ref="B31" authorId="2">
      <text>
        <r>
          <rPr>
            <b/>
            <sz val="9"/>
            <rFont val="宋体"/>
            <charset val="134"/>
          </rPr>
          <t>评估高光喷涂的话侧孔积油会很严重，所以侧孔要CNC的，另外打磨四角夹线会把产品棱边磨塌。四角夹线喷涂后不打磨做到可见不可摸。TP与BP滑块线需要打磨，否则喷涂高光，不打磨容易产生锯齿翘边</t>
        </r>
      </text>
    </comment>
    <comment ref="N34" authorId="1">
      <text>
        <r>
          <rPr>
            <b/>
            <sz val="9"/>
            <rFont val="宋体"/>
            <charset val="134"/>
          </rPr>
          <t>取消气密测试减2人，增加贴二维码加1人，取消一个FPC减4人</t>
        </r>
        <r>
          <rPr>
            <sz val="9"/>
            <rFont val="宋体"/>
            <charset val="134"/>
          </rPr>
          <t xml:space="preserve">
</t>
        </r>
      </text>
    </comment>
    <comment ref="X35" authorId="0">
      <text>
        <r>
          <rPr>
            <sz val="9"/>
            <rFont val="宋体"/>
            <charset val="134"/>
          </rPr>
          <t xml:space="preserve">有志确认
</t>
        </r>
      </text>
    </comment>
    <comment ref="X39" authorId="2">
      <text>
        <r>
          <rPr>
            <b/>
            <sz val="9"/>
            <rFont val="宋体"/>
            <charset val="134"/>
          </rPr>
          <t>AAC</t>
        </r>
      </text>
    </comment>
    <comment ref="X57" authorId="0">
      <text>
        <r>
          <rPr>
            <sz val="9"/>
            <rFont val="宋体"/>
            <charset val="134"/>
          </rPr>
          <t>石狮，含组装，不含辅料价格</t>
        </r>
      </text>
    </comment>
    <comment ref="X71" authorId="0">
      <text>
        <r>
          <rPr>
            <sz val="9"/>
            <rFont val="宋体"/>
            <charset val="134"/>
          </rPr>
          <t xml:space="preserve">有志确认
</t>
        </r>
      </text>
    </comment>
    <comment ref="X79" authorId="0">
      <text>
        <r>
          <rPr>
            <b/>
            <sz val="9"/>
            <rFont val="宋体"/>
            <charset val="134"/>
          </rPr>
          <t>永诚</t>
        </r>
        <r>
          <rPr>
            <sz val="9"/>
            <rFont val="宋体"/>
            <charset val="134"/>
          </rPr>
          <t xml:space="preserve">
</t>
        </r>
      </text>
    </comment>
    <comment ref="X80" authorId="0">
      <text>
        <r>
          <rPr>
            <b/>
            <sz val="9"/>
            <rFont val="宋体"/>
            <charset val="134"/>
          </rPr>
          <t>永诚</t>
        </r>
        <r>
          <rPr>
            <sz val="9"/>
            <rFont val="宋体"/>
            <charset val="134"/>
          </rPr>
          <t xml:space="preserve">
</t>
        </r>
      </text>
    </comment>
    <comment ref="X81" authorId="0">
      <text>
        <r>
          <rPr>
            <b/>
            <sz val="9"/>
            <rFont val="宋体"/>
            <charset val="134"/>
          </rPr>
          <t>永诚</t>
        </r>
        <r>
          <rPr>
            <sz val="9"/>
            <rFont val="宋体"/>
            <charset val="134"/>
          </rPr>
          <t xml:space="preserve">
</t>
        </r>
      </text>
    </comment>
    <comment ref="X82" authorId="0">
      <text>
        <r>
          <rPr>
            <b/>
            <sz val="9"/>
            <rFont val="宋体"/>
            <charset val="134"/>
          </rPr>
          <t>永诚</t>
        </r>
        <r>
          <rPr>
            <sz val="9"/>
            <rFont val="宋体"/>
            <charset val="134"/>
          </rPr>
          <t xml:space="preserve">
</t>
        </r>
      </text>
    </comment>
    <comment ref="S89" authorId="0">
      <text>
        <r>
          <rPr>
            <b/>
            <sz val="9"/>
            <rFont val="宋体"/>
            <charset val="134"/>
          </rPr>
          <t>含网分成本0.4元</t>
        </r>
        <r>
          <rPr>
            <sz val="9"/>
            <rFont val="宋体"/>
            <charset val="134"/>
          </rPr>
          <t xml:space="preserve">
</t>
        </r>
      </text>
    </comment>
    <comment ref="S97" authorId="0">
      <text>
        <r>
          <rPr>
            <b/>
            <sz val="9"/>
            <rFont val="宋体"/>
            <charset val="134"/>
          </rPr>
          <t>含网分成本0.4元</t>
        </r>
        <r>
          <rPr>
            <sz val="9"/>
            <rFont val="宋体"/>
            <charset val="134"/>
          </rPr>
          <t xml:space="preserve">
</t>
        </r>
      </text>
    </comment>
    <comment ref="F133" authorId="1">
      <text>
        <r>
          <rPr>
            <sz val="9"/>
            <rFont val="宋体"/>
            <charset val="134"/>
          </rPr>
          <t xml:space="preserve">取消侧键FPC减6人，变导电布不用加人，螺母加1个也不用加人
</t>
        </r>
      </text>
    </comment>
  </commentList>
</comments>
</file>

<file path=xl/comments2.xml><?xml version="1.0" encoding="utf-8"?>
<comments xmlns="http://schemas.openxmlformats.org/spreadsheetml/2006/main">
  <authors>
    <author>tdkj</author>
    <author>黄慧敏</author>
  </authors>
  <commentList>
    <comment ref="J3" authorId="0">
      <text>
        <r>
          <rPr>
            <b/>
            <sz val="9"/>
            <rFont val="宋体"/>
            <charset val="134"/>
          </rPr>
          <t>tdkj:</t>
        </r>
        <r>
          <rPr>
            <sz val="9"/>
            <rFont val="宋体"/>
            <charset val="134"/>
          </rPr>
          <t xml:space="preserve">
设备一小时的制造费用</t>
        </r>
      </text>
    </comment>
    <comment ref="R3" authorId="1">
      <text>
        <r>
          <rPr>
            <b/>
            <sz val="9"/>
            <rFont val="宋体"/>
            <charset val="134"/>
          </rPr>
          <t>包含设备折旧，水电费，厂地费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<sst xmlns="http://schemas.openxmlformats.org/spreadsheetml/2006/main" count="424" uniqueCount="295">
  <si>
    <t>小米</t>
  </si>
  <si>
    <t>华勤</t>
  </si>
  <si>
    <t>前壳</t>
  </si>
  <si>
    <t>20人/14个/1k</t>
  </si>
  <si>
    <t>32人/21个/1k</t>
  </si>
  <si>
    <t>石墨片 1个
螺母 1个
模切 12个</t>
  </si>
  <si>
    <t>听筒装饰件 1个
侧键 FPC 1个
石墨片 1个
螺母 1个
模切 17个</t>
  </si>
  <si>
    <t>2人贴听筒装饰件背胶，2人组装听筒装饰件，2人保压，4人贴侧键FPC，1人测FPC导通，1人冷压FPC</t>
  </si>
  <si>
    <t>中框 5G</t>
  </si>
  <si>
    <t>62人/14个/900</t>
  </si>
  <si>
    <t>70人/19个/900</t>
  </si>
  <si>
    <r>
      <rPr>
        <sz val="11"/>
        <color theme="1"/>
        <rFont val="宋体"/>
        <charset val="134"/>
        <scheme val="minor"/>
      </rPr>
      <t xml:space="preserve">红外灯罩1个
</t>
    </r>
    <r>
      <rPr>
        <sz val="11"/>
        <color rgb="FFFF0000"/>
        <rFont val="宋体"/>
        <charset val="134"/>
        <scheme val="minor"/>
      </rPr>
      <t>天线7个</t>
    </r>
    <r>
      <rPr>
        <sz val="11"/>
        <color theme="1"/>
        <rFont val="宋体"/>
        <charset val="134"/>
        <scheme val="minor"/>
      </rPr>
      <t xml:space="preserve">
音量键组件1个
石墨片 1个
模切 4个</t>
    </r>
  </si>
  <si>
    <r>
      <rPr>
        <sz val="11"/>
        <color theme="1"/>
        <rFont val="宋体"/>
        <charset val="134"/>
        <scheme val="minor"/>
      </rPr>
      <t xml:space="preserve">红外灯罩1个
</t>
    </r>
    <r>
      <rPr>
        <sz val="11"/>
        <color rgb="FFFF0000"/>
        <rFont val="宋体"/>
        <charset val="134"/>
        <scheme val="minor"/>
      </rPr>
      <t>天线9个</t>
    </r>
    <r>
      <rPr>
        <sz val="11"/>
        <color theme="1"/>
        <rFont val="宋体"/>
        <charset val="134"/>
        <scheme val="minor"/>
      </rPr>
      <t xml:space="preserve">
音量键组件1个
石墨片 1个
模切 7个</t>
    </r>
  </si>
  <si>
    <t>后摄支架组件</t>
  </si>
  <si>
    <t>17人/7个/1K</t>
  </si>
  <si>
    <t>15人/5个/1K</t>
  </si>
  <si>
    <t>灯罩1个
板材 1个
模切 5个</t>
  </si>
  <si>
    <t>灯罩1个
模切 4个</t>
  </si>
  <si>
    <t>K19</t>
  </si>
  <si>
    <t>成本（含税）</t>
  </si>
  <si>
    <t>裸壳价格</t>
  </si>
  <si>
    <t>组装费用</t>
  </si>
  <si>
    <t>其它物料费</t>
  </si>
  <si>
    <t>第1轮报价（含税）</t>
  </si>
  <si>
    <t>目标价（含税）</t>
  </si>
  <si>
    <t>第2轮报价（含税）</t>
  </si>
  <si>
    <t>比目标价增加</t>
  </si>
  <si>
    <t>按目标价的利润率</t>
  </si>
  <si>
    <t>按第2轮报价的利润率</t>
  </si>
  <si>
    <t>前壳组件</t>
  </si>
  <si>
    <t>中框组件-UV亚光</t>
  </si>
  <si>
    <t>中框组件-UV高光</t>
  </si>
  <si>
    <t>电池盖组件</t>
  </si>
  <si>
    <t>后摄装饰件组件</t>
  </si>
  <si>
    <t>前摄支架</t>
  </si>
  <si>
    <t>13M后摄支架</t>
  </si>
  <si>
    <t>亚光组件整套（含电池盖）合计</t>
  </si>
  <si>
    <t>高光组件整套（含电池盖）合计</t>
  </si>
  <si>
    <t>新品成本预估明细表</t>
  </si>
  <si>
    <t>客户：华勤</t>
  </si>
  <si>
    <t>项目名称:QK20135</t>
  </si>
  <si>
    <t>日期:2020.10.30</t>
  </si>
  <si>
    <t>序号</t>
  </si>
  <si>
    <t>零件名</t>
  </si>
  <si>
    <t>模具费
（含税）</t>
  </si>
  <si>
    <t>模出</t>
  </si>
  <si>
    <r>
      <rPr>
        <b/>
        <sz val="10"/>
        <rFont val="宋体"/>
        <charset val="134"/>
      </rPr>
      <t>材料</t>
    </r>
    <r>
      <rPr>
        <b/>
        <sz val="10"/>
        <rFont val="Times New Roman"/>
        <charset val="134"/>
      </rPr>
      <t xml:space="preserve"> </t>
    </r>
  </si>
  <si>
    <t>材料单价(元)</t>
  </si>
  <si>
    <t>产品净重</t>
  </si>
  <si>
    <t>料头单重</t>
  </si>
  <si>
    <t>良率</t>
  </si>
  <si>
    <t>设备型号</t>
  </si>
  <si>
    <t>制费/H</t>
  </si>
  <si>
    <t xml:space="preserve">周期/S </t>
  </si>
  <si>
    <t>产能/H</t>
  </si>
  <si>
    <t>直接人工数</t>
  </si>
  <si>
    <t>后检人数</t>
  </si>
  <si>
    <t>后检产能/H</t>
  </si>
  <si>
    <t>上道损耗</t>
  </si>
  <si>
    <t>材料费</t>
  </si>
  <si>
    <t>制造费用</t>
  </si>
  <si>
    <t>直接人工费</t>
  </si>
  <si>
    <t>间接人工费</t>
  </si>
  <si>
    <t>单道成本</t>
  </si>
  <si>
    <t>累计成本</t>
  </si>
  <si>
    <t>外购件价格(不含税)</t>
  </si>
  <si>
    <t>外购件损耗(百分比)</t>
  </si>
  <si>
    <t>外购件通达价格</t>
  </si>
  <si>
    <t xml:space="preserve">包装费 </t>
  </si>
  <si>
    <t>运输费</t>
  </si>
  <si>
    <t>管理费用</t>
  </si>
  <si>
    <t>单机用量</t>
  </si>
  <si>
    <t>合计
(不含税)</t>
  </si>
  <si>
    <t>合计
（含税)</t>
  </si>
  <si>
    <t>A壳组件</t>
  </si>
  <si>
    <t xml:space="preserve">PC+20%GF奥能H2120DL-BK001 </t>
  </si>
  <si>
    <t>180T</t>
  </si>
  <si>
    <r>
      <rPr>
        <sz val="10"/>
        <rFont val="宋体"/>
        <charset val="134"/>
      </rPr>
      <t>铝合金-</t>
    </r>
    <r>
      <rPr>
        <sz val="10"/>
        <color rgb="FFFF0000"/>
        <rFont val="宋体"/>
        <charset val="134"/>
      </rPr>
      <t>高强铝QN14</t>
    </r>
  </si>
  <si>
    <t>前壳-点胶</t>
  </si>
  <si>
    <t>前壳模内注塑铝合金</t>
  </si>
  <si>
    <t>前壳-组装</t>
  </si>
  <si>
    <t>听筒装饰件</t>
  </si>
  <si>
    <t>听筒装饰件背胶</t>
  </si>
  <si>
    <t>LCD半包裹接地导电泡棉</t>
  </si>
  <si>
    <t xml:space="preserve"> </t>
  </si>
  <si>
    <t>前壳LCD仓散热膜</t>
  </si>
  <si>
    <t>前壳喇叭防尘网泡棉</t>
  </si>
  <si>
    <t>前壳USB接地导电布</t>
  </si>
  <si>
    <t>前壳副MIC防尘网密封泡棉</t>
  </si>
  <si>
    <t>前壳BB屏蔽罩半包裹接地导电海绵</t>
  </si>
  <si>
    <t>1.10</t>
  </si>
  <si>
    <t>前壳卡针孔泡棉</t>
  </si>
  <si>
    <t>LCM FPC接地导电布</t>
  </si>
  <si>
    <t>前壳前摄支架背胶</t>
  </si>
  <si>
    <t>前壳小板LCDFPC背胶</t>
  </si>
  <si>
    <t>前壳副MIC胶套背胶</t>
  </si>
  <si>
    <t>前壳小板接地导电布</t>
  </si>
  <si>
    <r>
      <rPr>
        <sz val="10"/>
        <rFont val="宋体"/>
        <charset val="134"/>
      </rPr>
      <t>前摄支架_LCD密封泡棉</t>
    </r>
    <r>
      <rPr>
        <sz val="10"/>
        <color rgb="FFFF0000"/>
        <rFont val="宋体"/>
        <charset val="134"/>
      </rPr>
      <t>-新增</t>
    </r>
  </si>
  <si>
    <r>
      <rPr>
        <sz val="10"/>
        <rFont val="宋体"/>
        <charset val="134"/>
      </rPr>
      <t>前摄支架_CAM密封泡棉-</t>
    </r>
    <r>
      <rPr>
        <sz val="10"/>
        <color rgb="FFFF0000"/>
        <rFont val="宋体"/>
        <charset val="134"/>
      </rPr>
      <t>取消1</t>
    </r>
  </si>
  <si>
    <t>1.14</t>
  </si>
  <si>
    <t>前壳二维码标贴</t>
  </si>
  <si>
    <t>防水标贴</t>
  </si>
  <si>
    <r>
      <rPr>
        <sz val="10"/>
        <rFont val="宋体"/>
        <charset val="134"/>
      </rPr>
      <t>音量键FPC</t>
    </r>
    <r>
      <rPr>
        <sz val="10"/>
        <color rgb="FFFF0000"/>
        <rFont val="宋体"/>
        <charset val="134"/>
      </rPr>
      <t>-新增</t>
    </r>
  </si>
  <si>
    <t>热熔铜螺母</t>
  </si>
  <si>
    <t>中框组件-非NFC版</t>
  </si>
  <si>
    <t>后壳-注塑</t>
  </si>
  <si>
    <t>PC 3000K BK 3199E</t>
  </si>
  <si>
    <t>后壳-打磨</t>
  </si>
  <si>
    <r>
      <rPr>
        <sz val="10"/>
        <rFont val="宋体"/>
        <charset val="134"/>
      </rPr>
      <t>后壳-喷涂-</t>
    </r>
    <r>
      <rPr>
        <sz val="10"/>
        <color rgb="FFFF0000"/>
        <rFont val="宋体"/>
        <charset val="134"/>
      </rPr>
      <t>蓝色高光3涂</t>
    </r>
  </si>
  <si>
    <t>后壳-CNC</t>
  </si>
  <si>
    <t>后壳-组装</t>
  </si>
  <si>
    <t>红外灯罩</t>
  </si>
  <si>
    <t>红外灯罩背胶</t>
  </si>
  <si>
    <t>USB密封泡棉-名称变更</t>
  </si>
  <si>
    <t>听筒FPC</t>
  </si>
  <si>
    <t>天线FPC1（主天线FPC）</t>
  </si>
  <si>
    <t>天线FPC2（4G分集天线FPC）</t>
  </si>
  <si>
    <t>天线FPC3-三合一天线FPC</t>
  </si>
  <si>
    <t>天线FPC4-5G主集天线FPC</t>
  </si>
  <si>
    <t>天线FPC5-5G分集天线FPC</t>
  </si>
  <si>
    <t>天线FPC6-5G MIMO1天线FPC</t>
  </si>
  <si>
    <t>天线FPC7-5G MIMO2天线FPC</t>
  </si>
  <si>
    <t>NFC天线FPC-无</t>
  </si>
  <si>
    <r>
      <rPr>
        <sz val="10"/>
        <rFont val="宋体"/>
        <charset val="134"/>
      </rPr>
      <t>NFC-填充麦拉</t>
    </r>
    <r>
      <rPr>
        <sz val="10"/>
        <color rgb="FFFF0000"/>
        <rFont val="宋体"/>
        <charset val="134"/>
      </rPr>
      <t>-国内有，国际无</t>
    </r>
  </si>
  <si>
    <t>后壳散热膜</t>
  </si>
  <si>
    <t>前摄BTB连接器压紧泡棉</t>
  </si>
  <si>
    <t>景深BTB连接器压紧泡棉</t>
  </si>
  <si>
    <t>微距BTB连接器压紧泡棉</t>
  </si>
  <si>
    <t>前CAM预压泡棉</t>
  </si>
  <si>
    <t>后壳二维码标贴</t>
  </si>
  <si>
    <t>音量键组件</t>
  </si>
  <si>
    <t>电池盖板材</t>
  </si>
  <si>
    <t>组装</t>
  </si>
  <si>
    <t>电池压紧泡棉</t>
  </si>
  <si>
    <t>喇叭散热膜</t>
  </si>
  <si>
    <t>电池盖密封泡棉胶上</t>
  </si>
  <si>
    <t>电池盖密封泡棉胶下</t>
  </si>
  <si>
    <t>电池盖密封泡棉胶左</t>
  </si>
  <si>
    <t>电池盖密封泡棉胶右</t>
  </si>
  <si>
    <t>后摄DECO泡棉胶</t>
  </si>
  <si>
    <r>
      <rPr>
        <sz val="10"/>
        <rFont val="宋体"/>
        <charset val="134"/>
      </rPr>
      <t>电池盖二维码标贴-</t>
    </r>
    <r>
      <rPr>
        <sz val="10"/>
        <color rgb="FFFF0000"/>
        <rFont val="宋体"/>
        <charset val="134"/>
      </rPr>
      <t>新增</t>
    </r>
  </si>
  <si>
    <t>后摄支架-注塑</t>
  </si>
  <si>
    <t>后摄支架-喷涂</t>
  </si>
  <si>
    <t>后摄支架-组装</t>
  </si>
  <si>
    <t>闪光灯灯罩</t>
  </si>
  <si>
    <t>光感均光膜</t>
  </si>
  <si>
    <t>CAM LENS 背胶</t>
  </si>
  <si>
    <t>2M_CAM 密封泡棉</t>
  </si>
  <si>
    <t>主CAM密封泡棉</t>
  </si>
  <si>
    <r>
      <rPr>
        <sz val="10"/>
        <rFont val="宋体"/>
        <charset val="134"/>
      </rPr>
      <t>后摄支架二维码标贴-</t>
    </r>
    <r>
      <rPr>
        <sz val="10"/>
        <color rgb="FFFF0000"/>
        <rFont val="宋体"/>
        <charset val="134"/>
      </rPr>
      <t>新增</t>
    </r>
  </si>
  <si>
    <t>前摄支架组件</t>
  </si>
  <si>
    <t>前摄支架-注塑</t>
  </si>
  <si>
    <t>PC  奥能PC H2018BL-BK001</t>
  </si>
  <si>
    <t>USB密封胶套</t>
  </si>
  <si>
    <t>耳机座胶圈</t>
  </si>
  <si>
    <t>光感_MIC密封胶套</t>
  </si>
  <si>
    <t>闪光灯密封胶套</t>
  </si>
  <si>
    <t>合计</t>
  </si>
  <si>
    <t>高光</t>
  </si>
  <si>
    <t>PC 奥能H2018DL-BK001</t>
  </si>
  <si>
    <r>
      <rPr>
        <sz val="10"/>
        <rFont val="宋体"/>
        <charset val="134"/>
      </rPr>
      <t>后壳-喷涂-</t>
    </r>
    <r>
      <rPr>
        <sz val="10"/>
        <color rgb="FFFF0000"/>
        <rFont val="宋体"/>
        <charset val="134"/>
      </rPr>
      <t>锖色/蓝色/银色 高光</t>
    </r>
  </si>
  <si>
    <r>
      <rPr>
        <sz val="10"/>
        <rFont val="宋体"/>
        <charset val="134"/>
      </rPr>
      <t>后壳-喷涂-</t>
    </r>
    <r>
      <rPr>
        <sz val="10"/>
        <color rgb="FFFF0000"/>
        <rFont val="宋体"/>
        <charset val="134"/>
      </rPr>
      <t>蓝紫渐变高光第一上线</t>
    </r>
  </si>
  <si>
    <r>
      <rPr>
        <sz val="10"/>
        <rFont val="宋体"/>
        <charset val="134"/>
      </rPr>
      <t>后壳-喷涂-</t>
    </r>
    <r>
      <rPr>
        <sz val="10"/>
        <color rgb="FFFF0000"/>
        <rFont val="宋体"/>
        <charset val="134"/>
      </rPr>
      <t>蓝紫渐变高光第二上线</t>
    </r>
  </si>
  <si>
    <t>整套成本不含电池盖</t>
  </si>
  <si>
    <t>油漆明细-后壳黑色高光</t>
  </si>
  <si>
    <t>油漆明细-后壳哑光</t>
  </si>
  <si>
    <t>油漆明细-后摄支架（哑光高光）</t>
  </si>
  <si>
    <t>品名</t>
  </si>
  <si>
    <t>用量</t>
  </si>
  <si>
    <t>单价</t>
  </si>
  <si>
    <t>小计</t>
  </si>
  <si>
    <t>底漆</t>
  </si>
  <si>
    <t>稀释剂</t>
  </si>
  <si>
    <t>固化剂</t>
  </si>
  <si>
    <t>中漆</t>
  </si>
  <si>
    <t>面漆</t>
  </si>
  <si>
    <t>夹治具</t>
  </si>
  <si>
    <t>零件重(g)</t>
  </si>
  <si>
    <t>料头单重(g)</t>
  </si>
  <si>
    <t>使用机台(T)</t>
  </si>
  <si>
    <t>周期(S)</t>
  </si>
  <si>
    <t>合格率</t>
  </si>
  <si>
    <t>用工数</t>
  </si>
  <si>
    <t>备注</t>
  </si>
  <si>
    <t>前壳（模内注塑铝合金）</t>
  </si>
  <si>
    <t xml:space="preserve">1.右图示1位置包括产品拐角壁厚，周期快了会缩水，且影响表面能34的要求
2.易缩水位置预留浇口位置
</t>
  </si>
  <si>
    <t>后壳</t>
  </si>
  <si>
    <r>
      <rPr>
        <sz val="10"/>
        <rFont val="宋体"/>
        <charset val="134"/>
        <scheme val="major"/>
      </rPr>
      <t>1.</t>
    </r>
    <r>
      <rPr>
        <sz val="10"/>
        <color rgb="FFFF0000"/>
        <rFont val="宋体"/>
        <charset val="134"/>
        <scheme val="major"/>
      </rPr>
      <t>注塑切浇口已报价</t>
    </r>
    <r>
      <rPr>
        <sz val="10"/>
        <rFont val="宋体"/>
        <charset val="134"/>
        <scheme val="major"/>
      </rPr>
      <t xml:space="preserve">
2.确保较好走胶，预计10个浇口，且尽量靠近边缘（更易调整平面度），料头重
3.为调整平面度，确保冷却充分不变形及尺寸稳定性，周期长
4.右图1窄胶不易填充易变形及右图2大面壁厚薄需优化</t>
    </r>
    <r>
      <rPr>
        <sz val="10"/>
        <color rgb="FFFF0000"/>
        <rFont val="宋体"/>
        <charset val="134"/>
        <scheme val="major"/>
      </rPr>
      <t>，此报价按照优化后报价</t>
    </r>
  </si>
  <si>
    <t>1.哑光侧孔模具出.</t>
  </si>
  <si>
    <r>
      <rPr>
        <sz val="10"/>
        <rFont val="宋体"/>
        <charset val="134"/>
        <scheme val="major"/>
      </rPr>
      <t>1.</t>
    </r>
    <r>
      <rPr>
        <sz val="10"/>
        <color rgb="FFFF0000"/>
        <rFont val="宋体"/>
        <charset val="134"/>
        <scheme val="major"/>
      </rPr>
      <t>注塑切浇口已报价</t>
    </r>
    <r>
      <rPr>
        <sz val="10"/>
        <rFont val="宋体"/>
        <charset val="134"/>
        <scheme val="major"/>
      </rPr>
      <t xml:space="preserve">
2.确保较好走胶，预计10个浇口，且尽量靠近边缘（更易调整平面度），料头重
3.为调整平面度，确保冷却充分不变形及尺寸稳定性，周期长
4.右图1窄胶不易填充易变形及右图2大面壁厚薄需优化，</t>
    </r>
    <r>
      <rPr>
        <sz val="10"/>
        <color rgb="FFFF0000"/>
        <rFont val="宋体"/>
        <charset val="134"/>
        <scheme val="major"/>
      </rPr>
      <t>此报价按照优化后报价</t>
    </r>
  </si>
  <si>
    <t>2.高光侧孔CNC</t>
  </si>
  <si>
    <t>后摄支架</t>
  </si>
  <si>
    <t>已报分穴号</t>
  </si>
  <si>
    <t>未报超声波清洗，未报分穴号</t>
  </si>
  <si>
    <t xml:space="preserve">
未报分穴号，未报超声波清洗，未报抽真空包装，未报保护膜
</t>
  </si>
  <si>
    <t>55.2K/班</t>
  </si>
  <si>
    <t>注塑贴1个辅料，需加12人（贴辅料6人，全检辅料+摆盘+包装共6人,跟着产能走）</t>
  </si>
  <si>
    <t>模具基本费</t>
  </si>
  <si>
    <t>四面大滑块费</t>
  </si>
  <si>
    <t>特殊外观类别</t>
  </si>
  <si>
    <t>特殊外观费</t>
  </si>
  <si>
    <t>热流道类别</t>
  </si>
  <si>
    <t>热流道费</t>
  </si>
  <si>
    <t>其它费用</t>
  </si>
  <si>
    <t>4点</t>
  </si>
  <si>
    <t xml:space="preserve">四面滑块，3支斜顶
</t>
  </si>
  <si>
    <t>侧孔CNC 夹线位置要求需四面滑块
22支斜顶</t>
  </si>
  <si>
    <t>单点</t>
  </si>
  <si>
    <t>零件名称</t>
  </si>
  <si>
    <t>人工说明</t>
  </si>
  <si>
    <t>产能/10H</t>
  </si>
  <si>
    <t>组装辅助材料费</t>
  </si>
  <si>
    <t>A壳组件--组装</t>
  </si>
  <si>
    <r>
      <rPr>
        <sz val="10"/>
        <rFont val="宋体"/>
        <charset val="134"/>
        <scheme val="major"/>
      </rPr>
      <t>1人前检，1人热熔铜螺母+自动线投料，2人自动线前检，  2人贴前壳喇叭防尘网泡棉，3人贴前壳卡针孔泡棉，1人冷压，2人后检辅料，3人后检外观，2人包装，2人测气密性，1人测TP</t>
    </r>
    <r>
      <rPr>
        <sz val="10"/>
        <color rgb="FFFF0000"/>
        <rFont val="宋体"/>
        <charset val="134"/>
        <scheme val="major"/>
      </rPr>
      <t>，2人贴听筒装饰件背胶，2人组装听筒装饰件，2人保压，4人贴侧键FPC，1人测FPC导通，1人冷压FPC</t>
    </r>
    <r>
      <rPr>
        <sz val="10"/>
        <rFont val="宋体"/>
        <charset val="134"/>
        <scheme val="major"/>
      </rPr>
      <t xml:space="preserve">
</t>
    </r>
    <r>
      <rPr>
        <sz val="10"/>
        <color rgb="FFFF0000"/>
        <rFont val="宋体"/>
        <charset val="134"/>
        <scheme val="major"/>
      </rPr>
      <t>自动线：4pcsLCD接地导电泡绵，前壳LCD仓散热膜，前壳USB接地导电布，前壳副MIC防尘网密封泡棉，前壳BB屏蔽罩接地导电海绵，LCM FPC接地导电布，主摄像头BTB压紧泡棉，前壳前摄支架背胶，，1人前壳二维码标贴，前壳小板LCDFPC背胶，前壳副MIC胶套背胶</t>
    </r>
  </si>
  <si>
    <t>音频设备成本0.1元</t>
  </si>
  <si>
    <t>自动点胶镭雕，自动保压拆夹</t>
  </si>
  <si>
    <t>B壳组件</t>
  </si>
  <si>
    <r>
      <rPr>
        <sz val="10"/>
        <rFont val="宋体"/>
        <charset val="134"/>
        <scheme val="major"/>
      </rPr>
      <t>2人前检，1人贴红外灯罩背胶，2人组装红外灯罩，1人冷压红外灯罩</t>
    </r>
    <r>
      <rPr>
        <sz val="10"/>
        <color rgb="FFFF0000"/>
        <rFont val="宋体"/>
        <charset val="134"/>
        <scheme val="major"/>
      </rPr>
      <t>，1人贴听筒FPC半包裹接地导电海绵，4人贴听筒FPC，32</t>
    </r>
    <r>
      <rPr>
        <sz val="10"/>
        <rFont val="宋体"/>
        <charset val="134"/>
        <scheme val="major"/>
      </rPr>
      <t>人贴</t>
    </r>
    <r>
      <rPr>
        <sz val="10"/>
        <color rgb="FFFF0000"/>
        <rFont val="宋体"/>
        <charset val="134"/>
        <scheme val="major"/>
      </rPr>
      <t>8</t>
    </r>
    <r>
      <rPr>
        <sz val="10"/>
        <rFont val="宋体"/>
        <charset val="134"/>
        <scheme val="major"/>
      </rPr>
      <t>个天线，2人冷压天线，2人网分测试，</t>
    </r>
    <r>
      <rPr>
        <sz val="10"/>
        <color rgb="FFFF0000"/>
        <rFont val="宋体"/>
        <charset val="134"/>
        <scheme val="major"/>
      </rPr>
      <t>1人测导通，</t>
    </r>
    <r>
      <rPr>
        <sz val="10"/>
        <rFont val="宋体"/>
        <charset val="134"/>
        <scheme val="major"/>
      </rPr>
      <t>2人贴NFC-填充麦拉，1人贴后壳散热膜，1人贴前摄BTB连接器压紧泡棉，1人贴前CAM预压泡棉，2人组装音量键组件，1人冷压辅料，2人后检辅料，3人后检外观，2人包装，1人撕膜,2人气密性抽测，2人贴保护膜，2人镭雕</t>
    </r>
  </si>
  <si>
    <t>网分成本0.4元</t>
  </si>
  <si>
    <t>2人前检，1人贴电池压紧泡棉，1人贴喇叭散热膜，2人贴电池盖密封泡棉胶上，2人贴电池盖密封泡棉胶下，2人贴电池盖密封泡棉胶左，2人贴电池盖密封泡棉胶右，1人贴后摄DECO泡棉胶，1人撕膜，1人冷压，1人后检辅料，2人后检外观，2人包装，2人贴保护膜，2人测气密性</t>
  </si>
  <si>
    <t>2人前检，1人组装闪光灯灯罩，1人贴光感均光膜，1人贴CAM LENS 背胶，1人贴2M_CAM 密封泡棉，1人贴主CAM密封泡棉，1人冷压，1人贴保护膜，1人后检辅料，2人后检外观，2人包装，1人超声波清洗+真空包装</t>
  </si>
  <si>
    <t>1人前检，1人贴前摄支架_LCD密封泡棉，1人贴前摄支架_CAM密封泡棉，1人冷压，1人后检辅料，1人后检外观，1人包装，1人超声波清洗</t>
  </si>
  <si>
    <t>量产项目成本核算明细表</t>
  </si>
  <si>
    <t>客户：?</t>
  </si>
  <si>
    <t>项目名称:</t>
  </si>
  <si>
    <t>尺寸：61.3*38.6</t>
  </si>
  <si>
    <t>日期:2021.3.4</t>
  </si>
  <si>
    <t>每版件数</t>
  </si>
  <si>
    <t>组件</t>
  </si>
  <si>
    <t>报表1</t>
  </si>
  <si>
    <t>取位编号为A的料号</t>
  </si>
  <si>
    <t>A000</t>
  </si>
  <si>
    <t>主材1材料</t>
  </si>
  <si>
    <t>复合生板PMMA+PC
/0.5/370*420</t>
  </si>
  <si>
    <t>1.1.1</t>
  </si>
  <si>
    <t>冲切镭雕</t>
  </si>
  <si>
    <t>1.1.2</t>
  </si>
  <si>
    <t>小字符</t>
  </si>
  <si>
    <t>1.1.3</t>
  </si>
  <si>
    <t>正面转印（闪光灯孔+闪环区域光面）</t>
  </si>
  <si>
    <t>1.1.4</t>
  </si>
  <si>
    <t>丝印黑环</t>
  </si>
  <si>
    <t>半检</t>
  </si>
  <si>
    <t>1.1.5</t>
  </si>
  <si>
    <t>CNC（1出4）</t>
  </si>
  <si>
    <t xml:space="preserve"> B000</t>
  </si>
  <si>
    <t>主材2材料</t>
  </si>
  <si>
    <t>综研PC+OCA防爆膜 SDH-100B1
/0.1/370*420</t>
  </si>
  <si>
    <t>B001</t>
  </si>
  <si>
    <t>胶印</t>
  </si>
  <si>
    <t>2.1.2</t>
  </si>
  <si>
    <t>压花</t>
  </si>
  <si>
    <t>2.1.3</t>
  </si>
  <si>
    <t>电镀（450nm）</t>
  </si>
  <si>
    <t>2.1.4</t>
  </si>
  <si>
    <t>印底色（5套）</t>
  </si>
  <si>
    <t>2.1.5</t>
  </si>
  <si>
    <t>激光切割（1出4）</t>
  </si>
  <si>
    <t>贴合逻辑</t>
  </si>
  <si>
    <t>取部门编号为B的料号</t>
  </si>
  <si>
    <t>A合计</t>
  </si>
  <si>
    <t>主材</t>
  </si>
  <si>
    <t>复合生板+防爆膜</t>
  </si>
  <si>
    <t>3.1.1</t>
  </si>
  <si>
    <t>贴合（1出8）</t>
  </si>
  <si>
    <t>3.1.2</t>
  </si>
  <si>
    <t>3.1.3</t>
  </si>
  <si>
    <t>CNC（CCD定位）</t>
  </si>
  <si>
    <t>3.1.4</t>
  </si>
  <si>
    <t>检验</t>
  </si>
  <si>
    <t>机台编号</t>
  </si>
  <si>
    <t>机台费率/H</t>
  </si>
  <si>
    <t>SK202101017868</t>
  </si>
  <si>
    <t>SK202101016076</t>
  </si>
  <si>
    <t>SK202101018360</t>
  </si>
  <si>
    <t>SK202101014157</t>
  </si>
  <si>
    <t>SK202101022126</t>
  </si>
  <si>
    <t>SK202101020734</t>
  </si>
  <si>
    <t>SK202104170001</t>
  </si>
  <si>
    <t>SK202101014090</t>
  </si>
  <si>
    <t>SK202101026802</t>
  </si>
  <si>
    <t>SK202101024273</t>
  </si>
  <si>
    <t>SK202101021639</t>
  </si>
  <si>
    <t>SK202101013953</t>
  </si>
  <si>
    <t>SK202101018149</t>
  </si>
  <si>
    <t>SK202101013955</t>
  </si>
  <si>
    <t>SK202101023174</t>
  </si>
  <si>
    <t>SK202101014604</t>
  </si>
  <si>
    <t>SK202101014203</t>
  </si>
  <si>
    <t>SK202101014158</t>
  </si>
  <si>
    <t>SK202101015563</t>
  </si>
  <si>
    <t>SK202101022043</t>
  </si>
  <si>
    <t>SK202101018354</t>
  </si>
  <si>
    <t>SK202101014207</t>
  </si>
  <si>
    <t>SK202101023195</t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</si>
</sst>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€]* #,##0.00_-;\-[$€]* #,##0.00_-;_-[$€]* &quot;-&quot;??_-;_-@_-"/>
    <numFmt numFmtId="177" formatCode="0.0000_ "/>
    <numFmt numFmtId="178" formatCode="0.0%"/>
    <numFmt numFmtId="179" formatCode="#,##0_);[Red]\(#,##0\)"/>
    <numFmt numFmtId="180" formatCode="0.00_ "/>
    <numFmt numFmtId="181" formatCode="0.000_ "/>
    <numFmt numFmtId="182" formatCode="0_ "/>
    <numFmt numFmtId="183" formatCode="0.00_);[Red]\(0.00\)"/>
    <numFmt numFmtId="184" formatCode="0.0000_ ;[Red]\-0.0000\ "/>
    <numFmt numFmtId="185" formatCode="0.0000_);[Red]\(0.0000\)"/>
    <numFmt numFmtId="186" formatCode="0.0000"/>
    <numFmt numFmtId="187" formatCode="0_);[Red]\(0\)"/>
    <numFmt numFmtId="188" formatCode="0.0_);[Red]\(0.0\)"/>
  </numFmts>
  <fonts count="48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rgb="FFFF0000"/>
      <name val="宋体"/>
      <charset val="134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color rgb="FFFF0000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0"/>
      <name val="Verdana"/>
      <charset val="134"/>
    </font>
    <font>
      <sz val="10"/>
      <name val="Arial"/>
      <charset val="134"/>
    </font>
    <font>
      <sz val="12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0" borderId="0">
      <protection locked="0"/>
    </xf>
    <xf numFmtId="0" fontId="19" fillId="17" borderId="0" applyNumberFormat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18" fillId="0" borderId="0"/>
    <xf numFmtId="9" fontId="25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3" fillId="25" borderId="13" applyNumberFormat="0" applyAlignment="0" applyProtection="0">
      <alignment vertical="center"/>
    </xf>
    <xf numFmtId="0" fontId="34" fillId="25" borderId="9" applyNumberFormat="0" applyAlignment="0" applyProtection="0">
      <alignment vertical="center"/>
    </xf>
    <xf numFmtId="0" fontId="35" fillId="26" borderId="14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0">
      <alignment vertical="center"/>
    </xf>
    <xf numFmtId="0" fontId="38" fillId="0" borderId="16" applyNumberFormat="0" applyFill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0" borderId="0">
      <protection locked="0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19" fillId="10" borderId="0" applyNumberFormat="0" applyBorder="0" applyAlignment="0" applyProtection="0">
      <alignment vertical="center"/>
    </xf>
    <xf numFmtId="176" fontId="42" fillId="0" borderId="0">
      <protection locked="0"/>
    </xf>
    <xf numFmtId="0" fontId="22" fillId="42" borderId="0" applyNumberFormat="0" applyBorder="0" applyAlignment="0" applyProtection="0">
      <alignment vertical="center"/>
    </xf>
    <xf numFmtId="0" fontId="43" fillId="0" borderId="0">
      <protection locked="0"/>
    </xf>
    <xf numFmtId="9" fontId="0" fillId="0" borderId="0" applyFont="0" applyFill="0" applyBorder="0" applyAlignment="0" applyProtection="0">
      <alignment vertical="center"/>
    </xf>
    <xf numFmtId="176" fontId="42" fillId="0" borderId="0">
      <protection locked="0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/>
    <xf numFmtId="0" fontId="18" fillId="0" borderId="0"/>
    <xf numFmtId="0" fontId="0" fillId="0" borderId="0"/>
    <xf numFmtId="0" fontId="42" fillId="0" borderId="0">
      <protection locked="0"/>
    </xf>
    <xf numFmtId="0" fontId="31" fillId="0" borderId="0">
      <alignment vertical="center"/>
    </xf>
    <xf numFmtId="0" fontId="18" fillId="0" borderId="0"/>
    <xf numFmtId="0" fontId="0" fillId="0" borderId="0"/>
    <xf numFmtId="0" fontId="0" fillId="0" borderId="0">
      <alignment vertical="center"/>
    </xf>
    <xf numFmtId="0" fontId="44" fillId="0" borderId="0"/>
    <xf numFmtId="0" fontId="45" fillId="0" borderId="0"/>
    <xf numFmtId="0" fontId="44" fillId="0" borderId="0"/>
  </cellStyleXfs>
  <cellXfs count="269">
    <xf numFmtId="0" fontId="0" fillId="0" borderId="0" xfId="0"/>
    <xf numFmtId="2" fontId="0" fillId="0" borderId="0" xfId="0" applyNumberFormat="1"/>
    <xf numFmtId="0" fontId="1" fillId="0" borderId="0" xfId="0" applyFont="1" applyFill="1"/>
    <xf numFmtId="0" fontId="2" fillId="0" borderId="0" xfId="0" applyFont="1" applyFill="1"/>
    <xf numFmtId="0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2" borderId="1" xfId="63" applyFont="1" applyFill="1" applyBorder="1" applyAlignment="1">
      <alignment horizontal="center" vertical="center" wrapText="1"/>
    </xf>
    <xf numFmtId="0" fontId="5" fillId="3" borderId="1" xfId="63" applyFont="1" applyFill="1" applyBorder="1" applyAlignment="1">
      <alignment horizontal="center" vertical="center" wrapText="1"/>
    </xf>
    <xf numFmtId="0" fontId="5" fillId="2" borderId="2" xfId="63" applyFont="1" applyFill="1" applyBorder="1" applyAlignment="1">
      <alignment horizontal="center" vertical="center" wrapText="1"/>
    </xf>
    <xf numFmtId="0" fontId="5" fillId="2" borderId="2" xfId="75" applyFont="1" applyFill="1" applyBorder="1" applyAlignment="1">
      <alignment horizontal="centerContinuous" vertical="center" wrapText="1"/>
    </xf>
    <xf numFmtId="177" fontId="5" fillId="2" borderId="2" xfId="75" applyNumberFormat="1" applyFont="1" applyFill="1" applyBorder="1" applyAlignment="1">
      <alignment horizontal="center" vertical="center" wrapText="1"/>
    </xf>
    <xf numFmtId="178" fontId="5" fillId="2" borderId="2" xfId="16" applyNumberFormat="1" applyFont="1" applyFill="1" applyBorder="1" applyAlignment="1">
      <alignment horizontal="center" vertical="center" wrapText="1"/>
    </xf>
    <xf numFmtId="0" fontId="5" fillId="4" borderId="1" xfId="63" applyFont="1" applyFill="1" applyBorder="1" applyAlignment="1">
      <alignment horizontal="center" vertical="center" wrapText="1"/>
    </xf>
    <xf numFmtId="0" fontId="5" fillId="4" borderId="2" xfId="63" applyFont="1" applyFill="1" applyBorder="1" applyAlignment="1" applyProtection="1">
      <alignment horizontal="left" vertical="center" wrapText="1"/>
      <protection locked="0"/>
    </xf>
    <xf numFmtId="0" fontId="5" fillId="4" borderId="2" xfId="63" applyFont="1" applyFill="1" applyBorder="1" applyAlignment="1">
      <alignment horizontal="center" vertical="center" wrapText="1"/>
    </xf>
    <xf numFmtId="0" fontId="5" fillId="4" borderId="2" xfId="75" applyFont="1" applyFill="1" applyBorder="1" applyAlignment="1">
      <alignment horizontal="centerContinuous" vertical="center" wrapText="1"/>
    </xf>
    <xf numFmtId="177" fontId="5" fillId="4" borderId="2" xfId="75" applyNumberFormat="1" applyFont="1" applyFill="1" applyBorder="1" applyAlignment="1">
      <alignment horizontal="center" vertical="center" wrapText="1"/>
    </xf>
    <xf numFmtId="178" fontId="5" fillId="4" borderId="2" xfId="16" applyNumberFormat="1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0" fontId="5" fillId="0" borderId="2" xfId="63" applyFont="1" applyFill="1" applyBorder="1" applyAlignment="1" applyProtection="1">
      <alignment horizontal="left" vertical="center" wrapText="1"/>
      <protection locked="0"/>
    </xf>
    <xf numFmtId="0" fontId="7" fillId="0" borderId="2" xfId="63" applyFont="1" applyFill="1" applyBorder="1" applyAlignment="1">
      <alignment horizontal="center" vertical="center" wrapText="1"/>
    </xf>
    <xf numFmtId="179" fontId="7" fillId="5" borderId="2" xfId="76" applyNumberFormat="1" applyFont="1" applyFill="1" applyBorder="1" applyAlignment="1">
      <alignment horizontal="center" vertical="center" wrapText="1"/>
    </xf>
    <xf numFmtId="177" fontId="7" fillId="6" borderId="2" xfId="75" applyNumberFormat="1" applyFont="1" applyFill="1" applyBorder="1" applyAlignment="1">
      <alignment horizontal="center" vertical="center" wrapText="1"/>
    </xf>
    <xf numFmtId="180" fontId="7" fillId="0" borderId="2" xfId="75" applyNumberFormat="1" applyFont="1" applyFill="1" applyBorder="1" applyAlignment="1">
      <alignment horizontal="center" vertical="center" wrapText="1"/>
    </xf>
    <xf numFmtId="178" fontId="7" fillId="0" borderId="2" xfId="16" applyNumberFormat="1" applyFont="1" applyFill="1" applyBorder="1" applyAlignment="1">
      <alignment horizontal="center" vertical="center" wrapText="1"/>
    </xf>
    <xf numFmtId="0" fontId="8" fillId="0" borderId="2" xfId="63" applyFont="1" applyFill="1" applyBorder="1" applyAlignment="1">
      <alignment horizontal="center" vertical="center" wrapText="1"/>
    </xf>
    <xf numFmtId="0" fontId="7" fillId="0" borderId="2" xfId="51" applyFont="1" applyFill="1" applyBorder="1" applyAlignment="1" applyProtection="1">
      <alignment horizontal="left" vertical="center"/>
      <protection locked="0"/>
    </xf>
    <xf numFmtId="0" fontId="7" fillId="0" borderId="2" xfId="51" applyFont="1" applyFill="1" applyBorder="1" applyAlignment="1" applyProtection="1">
      <alignment horizontal="center" vertical="center"/>
      <protection locked="0"/>
    </xf>
    <xf numFmtId="179" fontId="7" fillId="0" borderId="2" xfId="76" applyNumberFormat="1" applyFont="1" applyFill="1" applyBorder="1" applyAlignment="1">
      <alignment horizontal="center" vertical="center" wrapText="1"/>
    </xf>
    <xf numFmtId="177" fontId="7" fillId="0" borderId="2" xfId="75" applyNumberFormat="1" applyFont="1" applyFill="1" applyBorder="1" applyAlignment="1">
      <alignment horizontal="center" vertical="center" wrapText="1"/>
    </xf>
    <xf numFmtId="0" fontId="9" fillId="0" borderId="2" xfId="51" applyFont="1" applyFill="1" applyBorder="1" applyAlignment="1" applyProtection="1">
      <alignment horizontal="left" vertical="center"/>
      <protection locked="0"/>
    </xf>
    <xf numFmtId="0" fontId="7" fillId="0" borderId="2" xfId="62" applyNumberFormat="1" applyFont="1" applyFill="1" applyBorder="1" applyAlignment="1" applyProtection="1">
      <alignment horizontal="center" vertical="center"/>
    </xf>
    <xf numFmtId="0" fontId="5" fillId="2" borderId="3" xfId="63" applyFont="1" applyFill="1" applyBorder="1" applyAlignment="1">
      <alignment horizontal="center" vertical="center" wrapText="1"/>
    </xf>
    <xf numFmtId="0" fontId="6" fillId="2" borderId="4" xfId="63" applyFont="1" applyFill="1" applyBorder="1" applyAlignment="1">
      <alignment horizontal="center" vertical="center" wrapText="1"/>
    </xf>
    <xf numFmtId="0" fontId="7" fillId="2" borderId="2" xfId="51" applyFont="1" applyFill="1" applyBorder="1" applyAlignment="1" applyProtection="1">
      <alignment horizontal="center" vertical="center"/>
      <protection locked="0"/>
    </xf>
    <xf numFmtId="179" fontId="7" fillId="2" borderId="2" xfId="76" applyNumberFormat="1" applyFont="1" applyFill="1" applyBorder="1" applyAlignment="1">
      <alignment horizontal="center" vertical="center" wrapText="1"/>
    </xf>
    <xf numFmtId="177" fontId="7" fillId="2" borderId="2" xfId="75" applyNumberFormat="1" applyFont="1" applyFill="1" applyBorder="1" applyAlignment="1">
      <alignment horizontal="center" vertical="center" wrapText="1"/>
    </xf>
    <xf numFmtId="180" fontId="7" fillId="2" borderId="2" xfId="75" applyNumberFormat="1" applyFont="1" applyFill="1" applyBorder="1" applyAlignment="1">
      <alignment horizontal="center" vertical="center" wrapText="1"/>
    </xf>
    <xf numFmtId="178" fontId="7" fillId="2" borderId="2" xfId="16" applyNumberFormat="1" applyFont="1" applyFill="1" applyBorder="1" applyAlignment="1">
      <alignment horizontal="center" vertical="center" wrapText="1"/>
    </xf>
    <xf numFmtId="0" fontId="5" fillId="2" borderId="5" xfId="63" applyFont="1" applyFill="1" applyBorder="1" applyAlignment="1">
      <alignment horizontal="center" vertical="center" wrapText="1"/>
    </xf>
    <xf numFmtId="0" fontId="5" fillId="5" borderId="2" xfId="63" applyFont="1" applyFill="1" applyBorder="1" applyAlignment="1" applyProtection="1">
      <alignment horizontal="left" vertical="center" wrapText="1"/>
      <protection locked="0"/>
    </xf>
    <xf numFmtId="0" fontId="5" fillId="5" borderId="2" xfId="63" applyFont="1" applyFill="1" applyBorder="1" applyAlignment="1">
      <alignment horizontal="center" vertical="center" wrapText="1"/>
    </xf>
    <xf numFmtId="0" fontId="5" fillId="5" borderId="2" xfId="75" applyFont="1" applyFill="1" applyBorder="1" applyAlignment="1">
      <alignment horizontal="centerContinuous" vertical="center" wrapText="1"/>
    </xf>
    <xf numFmtId="177" fontId="5" fillId="5" borderId="2" xfId="75" applyNumberFormat="1" applyFont="1" applyFill="1" applyBorder="1" applyAlignment="1">
      <alignment horizontal="center" vertical="center" wrapText="1"/>
    </xf>
    <xf numFmtId="178" fontId="5" fillId="5" borderId="2" xfId="16" applyNumberFormat="1" applyFont="1" applyFill="1" applyBorder="1" applyAlignment="1">
      <alignment horizontal="center" vertical="center" wrapText="1"/>
    </xf>
    <xf numFmtId="179" fontId="7" fillId="6" borderId="2" xfId="76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/>
    <xf numFmtId="0" fontId="5" fillId="2" borderId="2" xfId="75" applyNumberFormat="1" applyFont="1" applyFill="1" applyBorder="1" applyAlignment="1">
      <alignment horizontal="center" vertical="center" wrapText="1"/>
    </xf>
    <xf numFmtId="182" fontId="5" fillId="2" borderId="2" xfId="75" applyNumberFormat="1" applyFont="1" applyFill="1" applyBorder="1" applyAlignment="1">
      <alignment horizontal="center" vertical="center" wrapText="1"/>
    </xf>
    <xf numFmtId="0" fontId="5" fillId="2" borderId="2" xfId="75" applyFont="1" applyFill="1" applyBorder="1" applyAlignment="1">
      <alignment horizontal="center" vertical="center" wrapText="1"/>
    </xf>
    <xf numFmtId="0" fontId="5" fillId="4" borderId="2" xfId="75" applyNumberFormat="1" applyFont="1" applyFill="1" applyBorder="1" applyAlignment="1">
      <alignment horizontal="center" vertical="center" wrapText="1"/>
    </xf>
    <xf numFmtId="182" fontId="5" fillId="4" borderId="2" xfId="75" applyNumberFormat="1" applyFont="1" applyFill="1" applyBorder="1" applyAlignment="1">
      <alignment horizontal="center" vertical="center" wrapText="1"/>
    </xf>
    <xf numFmtId="0" fontId="5" fillId="4" borderId="2" xfId="75" applyFont="1" applyFill="1" applyBorder="1" applyAlignment="1">
      <alignment horizontal="center" vertical="center" wrapText="1"/>
    </xf>
    <xf numFmtId="0" fontId="7" fillId="0" borderId="2" xfId="75" applyNumberFormat="1" applyFont="1" applyFill="1" applyBorder="1" applyAlignment="1">
      <alignment horizontal="center" vertical="center" wrapText="1"/>
    </xf>
    <xf numFmtId="2" fontId="7" fillId="0" borderId="2" xfId="75" applyNumberFormat="1" applyFont="1" applyFill="1" applyBorder="1" applyAlignment="1">
      <alignment horizontal="center" vertical="center" wrapText="1"/>
    </xf>
    <xf numFmtId="182" fontId="7" fillId="0" borderId="2" xfId="75" applyNumberFormat="1" applyFont="1" applyFill="1" applyBorder="1" applyAlignment="1">
      <alignment horizontal="center" vertical="center" wrapText="1"/>
    </xf>
    <xf numFmtId="0" fontId="7" fillId="2" borderId="2" xfId="75" applyNumberFormat="1" applyFont="1" applyFill="1" applyBorder="1" applyAlignment="1">
      <alignment horizontal="center" vertical="center" wrapText="1"/>
    </xf>
    <xf numFmtId="0" fontId="5" fillId="5" borderId="2" xfId="75" applyNumberFormat="1" applyFont="1" applyFill="1" applyBorder="1" applyAlignment="1">
      <alignment horizontal="center" vertical="center" wrapText="1"/>
    </xf>
    <xf numFmtId="182" fontId="5" fillId="5" borderId="2" xfId="75" applyNumberFormat="1" applyFont="1" applyFill="1" applyBorder="1" applyAlignment="1">
      <alignment horizontal="center" vertical="center" wrapText="1"/>
    </xf>
    <xf numFmtId="0" fontId="5" fillId="5" borderId="2" xfId="75" applyFont="1" applyFill="1" applyBorder="1" applyAlignment="1">
      <alignment horizontal="center" vertical="center" wrapText="1"/>
    </xf>
    <xf numFmtId="0" fontId="5" fillId="2" borderId="3" xfId="75" applyFont="1" applyFill="1" applyBorder="1" applyAlignment="1">
      <alignment horizontal="center" vertical="center" wrapText="1"/>
    </xf>
    <xf numFmtId="183" fontId="5" fillId="4" borderId="2" xfId="63" applyNumberFormat="1" applyFont="1" applyFill="1" applyBorder="1" applyAlignment="1">
      <alignment horizontal="center" vertical="center" wrapText="1"/>
    </xf>
    <xf numFmtId="183" fontId="5" fillId="2" borderId="1" xfId="63" applyNumberFormat="1" applyFont="1" applyFill="1" applyBorder="1" applyAlignment="1">
      <alignment horizontal="center" vertical="center" wrapText="1"/>
    </xf>
    <xf numFmtId="9" fontId="5" fillId="2" borderId="1" xfId="63" applyNumberFormat="1" applyFont="1" applyFill="1" applyBorder="1" applyAlignment="1">
      <alignment horizontal="center" vertical="center" wrapText="1"/>
    </xf>
    <xf numFmtId="0" fontId="5" fillId="4" borderId="3" xfId="75" applyFont="1" applyFill="1" applyBorder="1" applyAlignment="1">
      <alignment horizontal="center" vertical="center" wrapText="1"/>
    </xf>
    <xf numFmtId="183" fontId="5" fillId="4" borderId="1" xfId="63" applyNumberFormat="1" applyFont="1" applyFill="1" applyBorder="1" applyAlignment="1">
      <alignment horizontal="center" vertical="center" wrapText="1"/>
    </xf>
    <xf numFmtId="9" fontId="5" fillId="4" borderId="1" xfId="63" applyNumberFormat="1" applyFont="1" applyFill="1" applyBorder="1" applyAlignment="1">
      <alignment horizontal="center" vertical="center" wrapText="1"/>
    </xf>
    <xf numFmtId="181" fontId="7" fillId="0" borderId="2" xfId="75" applyNumberFormat="1" applyFont="1" applyFill="1" applyBorder="1" applyAlignment="1">
      <alignment horizontal="center" vertical="center" wrapText="1"/>
    </xf>
    <xf numFmtId="177" fontId="7" fillId="0" borderId="3" xfId="75" applyNumberFormat="1" applyFont="1" applyFill="1" applyBorder="1" applyAlignment="1">
      <alignment horizontal="centerContinuous" vertical="center" wrapText="1"/>
    </xf>
    <xf numFmtId="177" fontId="7" fillId="0" borderId="2" xfId="75" applyNumberFormat="1" applyFont="1" applyFill="1" applyBorder="1" applyAlignment="1">
      <alignment horizontal="centerContinuous" vertical="center" wrapText="1"/>
    </xf>
    <xf numFmtId="177" fontId="7" fillId="4" borderId="2" xfId="75" applyNumberFormat="1" applyFont="1" applyFill="1" applyBorder="1" applyAlignment="1">
      <alignment horizontal="center" vertical="center" wrapText="1"/>
    </xf>
    <xf numFmtId="184" fontId="7" fillId="0" borderId="2" xfId="63" applyNumberFormat="1" applyFont="1" applyFill="1" applyBorder="1" applyAlignment="1">
      <alignment horizontal="center" vertical="center" wrapText="1"/>
    </xf>
    <xf numFmtId="9" fontId="7" fillId="0" borderId="2" xfId="63" applyNumberFormat="1" applyFont="1" applyFill="1" applyBorder="1" applyAlignment="1">
      <alignment horizontal="center" vertical="center" wrapText="1"/>
    </xf>
    <xf numFmtId="177" fontId="7" fillId="0" borderId="3" xfId="75" applyNumberFormat="1" applyFont="1" applyFill="1" applyBorder="1" applyAlignment="1">
      <alignment horizontal="center" vertical="center" wrapText="1"/>
    </xf>
    <xf numFmtId="178" fontId="7" fillId="0" borderId="2" xfId="63" applyNumberFormat="1" applyFont="1" applyFill="1" applyBorder="1" applyAlignment="1">
      <alignment horizontal="center" vertical="center" wrapText="1"/>
    </xf>
    <xf numFmtId="181" fontId="7" fillId="2" borderId="2" xfId="75" applyNumberFormat="1" applyFont="1" applyFill="1" applyBorder="1" applyAlignment="1">
      <alignment horizontal="center" vertical="center" wrapText="1"/>
    </xf>
    <xf numFmtId="184" fontId="7" fillId="7" borderId="2" xfId="63" applyNumberFormat="1" applyFont="1" applyFill="1" applyBorder="1" applyAlignment="1">
      <alignment horizontal="center" vertical="center" wrapText="1"/>
    </xf>
    <xf numFmtId="181" fontId="7" fillId="2" borderId="3" xfId="75" applyNumberFormat="1" applyFont="1" applyFill="1" applyBorder="1" applyAlignment="1">
      <alignment horizontal="center" vertical="center" wrapText="1"/>
    </xf>
    <xf numFmtId="180" fontId="7" fillId="2" borderId="1" xfId="75" applyNumberFormat="1" applyFont="1" applyFill="1" applyBorder="1" applyAlignment="1">
      <alignment horizontal="center" vertical="center" wrapText="1"/>
    </xf>
    <xf numFmtId="0" fontId="5" fillId="5" borderId="3" xfId="75" applyFont="1" applyFill="1" applyBorder="1" applyAlignment="1">
      <alignment horizontal="center" vertical="center" wrapText="1"/>
    </xf>
    <xf numFmtId="183" fontId="5" fillId="5" borderId="2" xfId="63" applyNumberFormat="1" applyFont="1" applyFill="1" applyBorder="1" applyAlignment="1">
      <alignment horizontal="center" vertical="center" wrapText="1"/>
    </xf>
    <xf numFmtId="183" fontId="5" fillId="5" borderId="1" xfId="63" applyNumberFormat="1" applyFont="1" applyFill="1" applyBorder="1" applyAlignment="1">
      <alignment horizontal="center" vertical="center" wrapText="1"/>
    </xf>
    <xf numFmtId="0" fontId="5" fillId="5" borderId="1" xfId="63" applyFont="1" applyFill="1" applyBorder="1" applyAlignment="1">
      <alignment horizontal="center" vertical="center" wrapText="1"/>
    </xf>
    <xf numFmtId="9" fontId="5" fillId="5" borderId="1" xfId="63" applyNumberFormat="1" applyFont="1" applyFill="1" applyBorder="1" applyAlignment="1">
      <alignment horizontal="center" vertical="center" wrapText="1"/>
    </xf>
    <xf numFmtId="49" fontId="5" fillId="2" borderId="1" xfId="63" applyNumberFormat="1" applyFont="1" applyFill="1" applyBorder="1" applyAlignment="1">
      <alignment horizontal="center" vertical="center" wrapText="1"/>
    </xf>
    <xf numFmtId="185" fontId="7" fillId="4" borderId="1" xfId="63" applyNumberFormat="1" applyFont="1" applyFill="1" applyBorder="1" applyAlignment="1">
      <alignment horizontal="center" vertical="center" wrapText="1"/>
    </xf>
    <xf numFmtId="184" fontId="7" fillId="4" borderId="2" xfId="63" applyNumberFormat="1" applyFont="1" applyFill="1" applyBorder="1" applyAlignment="1">
      <alignment horizontal="center" vertical="center" wrapText="1"/>
    </xf>
    <xf numFmtId="49" fontId="5" fillId="4" borderId="1" xfId="63" applyNumberFormat="1" applyFont="1" applyFill="1" applyBorder="1" applyAlignment="1">
      <alignment horizontal="center" vertical="center" wrapText="1"/>
    </xf>
    <xf numFmtId="177" fontId="5" fillId="4" borderId="1" xfId="63" applyNumberFormat="1" applyFont="1" applyFill="1" applyBorder="1" applyAlignment="1">
      <alignment horizontal="center" vertical="center" wrapText="1"/>
    </xf>
    <xf numFmtId="186" fontId="5" fillId="4" borderId="1" xfId="63" applyNumberFormat="1" applyFont="1" applyFill="1" applyBorder="1" applyAlignment="1">
      <alignment horizontal="center" vertical="center" wrapText="1"/>
    </xf>
    <xf numFmtId="187" fontId="7" fillId="0" borderId="2" xfId="63" applyNumberFormat="1" applyFont="1" applyFill="1" applyBorder="1" applyAlignment="1">
      <alignment horizontal="center" vertical="center" wrapText="1"/>
    </xf>
    <xf numFmtId="184" fontId="2" fillId="0" borderId="0" xfId="0" applyNumberFormat="1" applyFont="1" applyFill="1"/>
    <xf numFmtId="187" fontId="7" fillId="2" borderId="2" xfId="63" applyNumberFormat="1" applyFont="1" applyFill="1" applyBorder="1" applyAlignment="1">
      <alignment horizontal="center" vertical="center" wrapText="1"/>
    </xf>
    <xf numFmtId="187" fontId="7" fillId="2" borderId="1" xfId="63" applyNumberFormat="1" applyFont="1" applyFill="1" applyBorder="1" applyAlignment="1">
      <alignment horizontal="center" vertical="center" wrapText="1"/>
    </xf>
    <xf numFmtId="177" fontId="5" fillId="2" borderId="1" xfId="75" applyNumberFormat="1" applyFont="1" applyFill="1" applyBorder="1" applyAlignment="1">
      <alignment horizontal="center" vertical="center" wrapText="1"/>
    </xf>
    <xf numFmtId="185" fontId="7" fillId="5" borderId="1" xfId="63" applyNumberFormat="1" applyFont="1" applyFill="1" applyBorder="1" applyAlignment="1">
      <alignment horizontal="center" vertical="center" wrapText="1"/>
    </xf>
    <xf numFmtId="184" fontId="7" fillId="5" borderId="2" xfId="63" applyNumberFormat="1" applyFont="1" applyFill="1" applyBorder="1" applyAlignment="1">
      <alignment horizontal="center" vertical="center" wrapText="1"/>
    </xf>
    <xf numFmtId="49" fontId="5" fillId="5" borderId="1" xfId="63" applyNumberFormat="1" applyFont="1" applyFill="1" applyBorder="1" applyAlignment="1">
      <alignment horizontal="center" vertical="center" wrapText="1"/>
    </xf>
    <xf numFmtId="177" fontId="5" fillId="5" borderId="1" xfId="63" applyNumberFormat="1" applyFont="1" applyFill="1" applyBorder="1" applyAlignment="1">
      <alignment horizontal="center" vertical="center" wrapText="1"/>
    </xf>
    <xf numFmtId="186" fontId="5" fillId="5" borderId="1" xfId="63" applyNumberFormat="1" applyFont="1" applyFill="1" applyBorder="1" applyAlignment="1">
      <alignment horizontal="center" vertical="center" wrapText="1"/>
    </xf>
    <xf numFmtId="178" fontId="2" fillId="0" borderId="0" xfId="12" applyNumberFormat="1" applyFont="1" applyFill="1" applyAlignment="1"/>
    <xf numFmtId="0" fontId="1" fillId="0" borderId="0" xfId="0" applyFont="1"/>
    <xf numFmtId="0" fontId="2" fillId="0" borderId="0" xfId="0" applyNumberFormat="1" applyFont="1"/>
    <xf numFmtId="0" fontId="2" fillId="0" borderId="0" xfId="0" applyFont="1"/>
    <xf numFmtId="0" fontId="10" fillId="0" borderId="0" xfId="0" applyFont="1" applyAlignment="1">
      <alignment horizontal="center" vertical="center"/>
    </xf>
    <xf numFmtId="0" fontId="5" fillId="0" borderId="1" xfId="63" applyFont="1" applyBorder="1" applyAlignment="1">
      <alignment horizontal="center" vertical="center" wrapText="1"/>
    </xf>
    <xf numFmtId="0" fontId="5" fillId="0" borderId="2" xfId="63" applyFont="1" applyBorder="1" applyAlignment="1">
      <alignment horizontal="center" vertical="center" wrapText="1"/>
    </xf>
    <xf numFmtId="0" fontId="5" fillId="0" borderId="2" xfId="75" applyFont="1" applyFill="1" applyBorder="1" applyAlignment="1">
      <alignment horizontal="centerContinuous" vertical="center" wrapText="1"/>
    </xf>
    <xf numFmtId="177" fontId="5" fillId="0" borderId="2" xfId="75" applyNumberFormat="1" applyFont="1" applyFill="1" applyBorder="1" applyAlignment="1">
      <alignment horizontal="center" vertical="center" wrapText="1"/>
    </xf>
    <xf numFmtId="0" fontId="6" fillId="8" borderId="2" xfId="63" applyFont="1" applyFill="1" applyBorder="1" applyAlignment="1">
      <alignment horizontal="center" vertical="center" wrapText="1"/>
    </xf>
    <xf numFmtId="0" fontId="5" fillId="8" borderId="2" xfId="63" applyFont="1" applyFill="1" applyBorder="1" applyAlignment="1" applyProtection="1">
      <alignment horizontal="left" vertical="center" wrapText="1"/>
      <protection locked="0"/>
    </xf>
    <xf numFmtId="0" fontId="7" fillId="8" borderId="2" xfId="63" applyFont="1" applyFill="1" applyBorder="1" applyAlignment="1">
      <alignment horizontal="center" vertical="center" wrapText="1"/>
    </xf>
    <xf numFmtId="179" fontId="7" fillId="8" borderId="2" xfId="76" applyNumberFormat="1" applyFont="1" applyFill="1" applyBorder="1" applyAlignment="1">
      <alignment horizontal="center" vertical="center" wrapText="1"/>
    </xf>
    <xf numFmtId="0" fontId="7" fillId="9" borderId="2" xfId="51" applyFont="1" applyFill="1" applyBorder="1" applyAlignment="1" applyProtection="1">
      <alignment horizontal="left" vertical="center"/>
      <protection locked="0"/>
    </xf>
    <xf numFmtId="0" fontId="7" fillId="4" borderId="2" xfId="51" applyFont="1" applyFill="1" applyBorder="1" applyAlignment="1" applyProtection="1">
      <alignment horizontal="center" vertical="center"/>
      <protection locked="0"/>
    </xf>
    <xf numFmtId="179" fontId="11" fillId="0" borderId="2" xfId="76" applyNumberFormat="1" applyFont="1" applyFill="1" applyBorder="1" applyAlignment="1">
      <alignment horizontal="center" vertical="center" wrapText="1"/>
    </xf>
    <xf numFmtId="177" fontId="11" fillId="0" borderId="2" xfId="75" applyNumberFormat="1" applyFont="1" applyFill="1" applyBorder="1" applyAlignment="1">
      <alignment horizontal="center" vertical="center" wrapText="1"/>
    </xf>
    <xf numFmtId="180" fontId="9" fillId="5" borderId="2" xfId="75" applyNumberFormat="1" applyFont="1" applyFill="1" applyBorder="1" applyAlignment="1">
      <alignment horizontal="center" vertical="center" wrapText="1"/>
    </xf>
    <xf numFmtId="180" fontId="7" fillId="5" borderId="2" xfId="75" applyNumberFormat="1" applyFont="1" applyFill="1" applyBorder="1" applyAlignment="1">
      <alignment horizontal="center" vertical="center" wrapText="1"/>
    </xf>
    <xf numFmtId="0" fontId="8" fillId="0" borderId="6" xfId="63" applyFont="1" applyFill="1" applyBorder="1" applyAlignment="1">
      <alignment horizontal="center" vertical="center" wrapText="1"/>
    </xf>
    <xf numFmtId="0" fontId="7" fillId="0" borderId="6" xfId="51" applyFont="1" applyFill="1" applyBorder="1" applyAlignment="1" applyProtection="1">
      <alignment horizontal="left" vertical="center"/>
      <protection locked="0"/>
    </xf>
    <xf numFmtId="0" fontId="7" fillId="0" borderId="6" xfId="51" applyFont="1" applyFill="1" applyBorder="1" applyAlignment="1" applyProtection="1">
      <alignment horizontal="center" vertical="center"/>
      <protection locked="0"/>
    </xf>
    <xf numFmtId="180" fontId="11" fillId="0" borderId="2" xfId="75" applyNumberFormat="1" applyFont="1" applyFill="1" applyBorder="1" applyAlignment="1">
      <alignment horizontal="center" vertical="center" wrapText="1"/>
    </xf>
    <xf numFmtId="49" fontId="8" fillId="0" borderId="2" xfId="63" applyNumberFormat="1" applyFont="1" applyFill="1" applyBorder="1" applyAlignment="1">
      <alignment horizontal="center" vertical="center" wrapText="1"/>
    </xf>
    <xf numFmtId="0" fontId="7" fillId="0" borderId="2" xfId="51" applyFont="1" applyFill="1" applyBorder="1" applyAlignment="1" applyProtection="1">
      <alignment horizontal="left" vertical="center" wrapText="1"/>
      <protection locked="0"/>
    </xf>
    <xf numFmtId="0" fontId="7" fillId="4" borderId="2" xfId="5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/>
    <xf numFmtId="178" fontId="5" fillId="0" borderId="2" xfId="16" applyNumberFormat="1" applyFont="1" applyFill="1" applyBorder="1" applyAlignment="1">
      <alignment horizontal="center" vertical="center" wrapText="1"/>
    </xf>
    <xf numFmtId="0" fontId="5" fillId="0" borderId="2" xfId="75" applyNumberFormat="1" applyFont="1" applyFill="1" applyBorder="1" applyAlignment="1">
      <alignment horizontal="center" vertical="center" wrapText="1"/>
    </xf>
    <xf numFmtId="182" fontId="5" fillId="0" borderId="2" xfId="75" applyNumberFormat="1" applyFont="1" applyFill="1" applyBorder="1" applyAlignment="1">
      <alignment horizontal="center" vertical="center" wrapText="1"/>
    </xf>
    <xf numFmtId="0" fontId="5" fillId="0" borderId="2" xfId="75" applyFont="1" applyFill="1" applyBorder="1" applyAlignment="1">
      <alignment horizontal="center" vertical="center" wrapText="1"/>
    </xf>
    <xf numFmtId="178" fontId="7" fillId="4" borderId="2" xfId="16" applyNumberFormat="1" applyFont="1" applyFill="1" applyBorder="1" applyAlignment="1">
      <alignment horizontal="center" vertical="center" wrapText="1"/>
    </xf>
    <xf numFmtId="0" fontId="7" fillId="4" borderId="2" xfId="75" applyNumberFormat="1" applyFont="1" applyFill="1" applyBorder="1" applyAlignment="1">
      <alignment horizontal="center" vertical="center" wrapText="1"/>
    </xf>
    <xf numFmtId="182" fontId="7" fillId="4" borderId="2" xfId="75" applyNumberFormat="1" applyFont="1" applyFill="1" applyBorder="1" applyAlignment="1">
      <alignment horizontal="center" vertical="center" wrapText="1"/>
    </xf>
    <xf numFmtId="178" fontId="9" fillId="0" borderId="2" xfId="16" applyNumberFormat="1" applyFont="1" applyFill="1" applyBorder="1" applyAlignment="1">
      <alignment horizontal="center" vertical="center" wrapText="1"/>
    </xf>
    <xf numFmtId="0" fontId="7" fillId="10" borderId="2" xfId="75" applyNumberFormat="1" applyFont="1" applyFill="1" applyBorder="1" applyAlignment="1">
      <alignment horizontal="center" vertical="center" wrapText="1"/>
    </xf>
    <xf numFmtId="180" fontId="7" fillId="10" borderId="2" xfId="75" applyNumberFormat="1" applyFont="1" applyFill="1" applyBorder="1" applyAlignment="1">
      <alignment horizontal="center" vertical="center" wrapText="1"/>
    </xf>
    <xf numFmtId="0" fontId="9" fillId="0" borderId="2" xfId="75" applyNumberFormat="1" applyFont="1" applyFill="1" applyBorder="1" applyAlignment="1">
      <alignment horizontal="center" vertical="center" wrapText="1"/>
    </xf>
    <xf numFmtId="178" fontId="7" fillId="0" borderId="6" xfId="16" applyNumberFormat="1" applyFont="1" applyFill="1" applyBorder="1" applyAlignment="1">
      <alignment horizontal="center" vertical="center" wrapText="1"/>
    </xf>
    <xf numFmtId="177" fontId="7" fillId="0" borderId="6" xfId="75" applyNumberFormat="1" applyFont="1" applyFill="1" applyBorder="1" applyAlignment="1">
      <alignment horizontal="center" vertical="center" wrapText="1"/>
    </xf>
    <xf numFmtId="0" fontId="7" fillId="10" borderId="6" xfId="75" applyNumberFormat="1" applyFont="1" applyFill="1" applyBorder="1" applyAlignment="1">
      <alignment horizontal="center" vertical="center" wrapText="1"/>
    </xf>
    <xf numFmtId="180" fontId="7" fillId="0" borderId="6" xfId="75" applyNumberFormat="1" applyFont="1" applyFill="1" applyBorder="1" applyAlignment="1">
      <alignment horizontal="center" vertical="center" wrapText="1"/>
    </xf>
    <xf numFmtId="0" fontId="7" fillId="0" borderId="6" xfId="75" applyNumberFormat="1" applyFont="1" applyFill="1" applyBorder="1" applyAlignment="1">
      <alignment horizontal="center" vertical="center" wrapText="1"/>
    </xf>
    <xf numFmtId="0" fontId="11" fillId="0" borderId="2" xfId="75" applyNumberFormat="1" applyFont="1" applyFill="1" applyBorder="1" applyAlignment="1">
      <alignment horizontal="center" vertical="center" wrapText="1"/>
    </xf>
    <xf numFmtId="0" fontId="11" fillId="10" borderId="2" xfId="75" applyNumberFormat="1" applyFont="1" applyFill="1" applyBorder="1" applyAlignment="1">
      <alignment horizontal="center" vertical="center" wrapText="1"/>
    </xf>
    <xf numFmtId="0" fontId="11" fillId="4" borderId="2" xfId="75" applyNumberFormat="1" applyFont="1" applyFill="1" applyBorder="1" applyAlignment="1">
      <alignment horizontal="center" vertical="center" wrapText="1"/>
    </xf>
    <xf numFmtId="0" fontId="5" fillId="0" borderId="3" xfId="75" applyFont="1" applyFill="1" applyBorder="1" applyAlignment="1">
      <alignment horizontal="center" vertical="center" wrapText="1"/>
    </xf>
    <xf numFmtId="183" fontId="5" fillId="11" borderId="2" xfId="63" applyNumberFormat="1" applyFont="1" applyFill="1" applyBorder="1" applyAlignment="1">
      <alignment horizontal="center" vertical="center" wrapText="1"/>
    </xf>
    <xf numFmtId="183" fontId="5" fillId="11" borderId="1" xfId="63" applyNumberFormat="1" applyFont="1" applyFill="1" applyBorder="1" applyAlignment="1">
      <alignment horizontal="center" vertical="center" wrapText="1"/>
    </xf>
    <xf numFmtId="0" fontId="5" fillId="0" borderId="1" xfId="63" applyFont="1" applyFill="1" applyBorder="1" applyAlignment="1">
      <alignment horizontal="center" vertical="center" wrapText="1"/>
    </xf>
    <xf numFmtId="177" fontId="7" fillId="4" borderId="3" xfId="75" applyNumberFormat="1" applyFont="1" applyFill="1" applyBorder="1" applyAlignment="1">
      <alignment horizontal="centerContinuous" vertical="center" wrapText="1"/>
    </xf>
    <xf numFmtId="177" fontId="7" fillId="4" borderId="2" xfId="75" applyNumberFormat="1" applyFont="1" applyFill="1" applyBorder="1" applyAlignment="1">
      <alignment horizontal="centerContinuous" vertical="center" wrapText="1"/>
    </xf>
    <xf numFmtId="184" fontId="7" fillId="8" borderId="2" xfId="63" applyNumberFormat="1" applyFont="1" applyFill="1" applyBorder="1" applyAlignment="1">
      <alignment horizontal="center" vertical="center" wrapText="1"/>
    </xf>
    <xf numFmtId="177" fontId="7" fillId="10" borderId="2" xfId="75" applyNumberFormat="1" applyFont="1" applyFill="1" applyBorder="1" applyAlignment="1">
      <alignment horizontal="center" vertical="center" wrapText="1"/>
    </xf>
    <xf numFmtId="177" fontId="7" fillId="10" borderId="3" xfId="75" applyNumberFormat="1" applyFont="1" applyFill="1" applyBorder="1" applyAlignment="1">
      <alignment horizontal="center" vertical="center" wrapText="1"/>
    </xf>
    <xf numFmtId="177" fontId="7" fillId="11" borderId="2" xfId="75" applyNumberFormat="1" applyFont="1" applyFill="1" applyBorder="1" applyAlignment="1">
      <alignment horizontal="center" vertical="center" wrapText="1"/>
    </xf>
    <xf numFmtId="180" fontId="7" fillId="10" borderId="6" xfId="75" applyNumberFormat="1" applyFont="1" applyFill="1" applyBorder="1" applyAlignment="1">
      <alignment horizontal="center" vertical="center" wrapText="1"/>
    </xf>
    <xf numFmtId="177" fontId="7" fillId="10" borderId="6" xfId="75" applyNumberFormat="1" applyFont="1" applyFill="1" applyBorder="1" applyAlignment="1">
      <alignment horizontal="center" vertical="center" wrapText="1"/>
    </xf>
    <xf numFmtId="177" fontId="9" fillId="5" borderId="6" xfId="75" applyNumberFormat="1" applyFont="1" applyFill="1" applyBorder="1" applyAlignment="1">
      <alignment horizontal="center" vertical="center" wrapText="1"/>
    </xf>
    <xf numFmtId="177" fontId="11" fillId="10" borderId="2" xfId="75" applyNumberFormat="1" applyFont="1" applyFill="1" applyBorder="1" applyAlignment="1">
      <alignment horizontal="center" vertical="center" wrapText="1"/>
    </xf>
    <xf numFmtId="177" fontId="7" fillId="5" borderId="2" xfId="75" applyNumberFormat="1" applyFont="1" applyFill="1" applyBorder="1" applyAlignment="1">
      <alignment horizontal="center" vertical="center" wrapText="1"/>
    </xf>
    <xf numFmtId="184" fontId="7" fillId="11" borderId="2" xfId="63" applyNumberFormat="1" applyFont="1" applyFill="1" applyBorder="1" applyAlignment="1">
      <alignment horizontal="center" vertical="center" wrapText="1"/>
    </xf>
    <xf numFmtId="184" fontId="7" fillId="10" borderId="2" xfId="63" applyNumberFormat="1" applyFont="1" applyFill="1" applyBorder="1" applyAlignment="1">
      <alignment horizontal="center" vertical="center" wrapText="1"/>
    </xf>
    <xf numFmtId="184" fontId="7" fillId="0" borderId="1" xfId="63" applyNumberFormat="1" applyFont="1" applyFill="1" applyBorder="1" applyAlignment="1">
      <alignment horizontal="center" vertical="center" wrapText="1"/>
    </xf>
    <xf numFmtId="184" fontId="7" fillId="0" borderId="6" xfId="63" applyNumberFormat="1" applyFont="1" applyFill="1" applyBorder="1" applyAlignment="1">
      <alignment horizontal="center" vertical="center" wrapText="1"/>
    </xf>
    <xf numFmtId="184" fontId="9" fillId="0" borderId="2" xfId="63" applyNumberFormat="1" applyFont="1" applyFill="1" applyBorder="1" applyAlignment="1">
      <alignment horizontal="center" vertical="center" wrapText="1"/>
    </xf>
    <xf numFmtId="0" fontId="2" fillId="10" borderId="0" xfId="0" applyFont="1" applyFill="1"/>
    <xf numFmtId="184" fontId="7" fillId="0" borderId="7" xfId="63" applyNumberFormat="1" applyFont="1" applyFill="1" applyBorder="1" applyAlignment="1">
      <alignment horizontal="center" vertical="center" wrapText="1"/>
    </xf>
    <xf numFmtId="0" fontId="2" fillId="10" borderId="2" xfId="0" applyFont="1" applyFill="1" applyBorder="1"/>
    <xf numFmtId="9" fontId="5" fillId="0" borderId="1" xfId="63" applyNumberFormat="1" applyFont="1" applyFill="1" applyBorder="1" applyAlignment="1">
      <alignment horizontal="center" vertical="center" wrapText="1"/>
    </xf>
    <xf numFmtId="183" fontId="5" fillId="0" borderId="1" xfId="63" applyNumberFormat="1" applyFont="1" applyFill="1" applyBorder="1" applyAlignment="1">
      <alignment horizontal="center" vertical="center" wrapText="1"/>
    </xf>
    <xf numFmtId="49" fontId="5" fillId="0" borderId="1" xfId="63" applyNumberFormat="1" applyFont="1" applyBorder="1" applyAlignment="1">
      <alignment horizontal="center" vertical="center" wrapText="1"/>
    </xf>
    <xf numFmtId="9" fontId="7" fillId="8" borderId="2" xfId="63" applyNumberFormat="1" applyFont="1" applyFill="1" applyBorder="1" applyAlignment="1">
      <alignment horizontal="center" vertical="center" wrapText="1"/>
    </xf>
    <xf numFmtId="187" fontId="7" fillId="8" borderId="2" xfId="63" applyNumberFormat="1" applyFont="1" applyFill="1" applyBorder="1" applyAlignment="1">
      <alignment horizontal="center" vertical="center" wrapText="1"/>
    </xf>
    <xf numFmtId="184" fontId="5" fillId="8" borderId="2" xfId="63" applyNumberFormat="1" applyFont="1" applyFill="1" applyBorder="1" applyAlignment="1">
      <alignment horizontal="center" vertical="center" wrapText="1"/>
    </xf>
    <xf numFmtId="178" fontId="7" fillId="0" borderId="6" xfId="63" applyNumberFormat="1" applyFont="1" applyFill="1" applyBorder="1" applyAlignment="1">
      <alignment horizontal="center" vertical="center" wrapText="1"/>
    </xf>
    <xf numFmtId="187" fontId="7" fillId="0" borderId="6" xfId="63" applyNumberFormat="1" applyFont="1" applyFill="1" applyBorder="1" applyAlignment="1">
      <alignment horizontal="center" vertical="center" wrapText="1"/>
    </xf>
    <xf numFmtId="184" fontId="2" fillId="0" borderId="0" xfId="0" applyNumberFormat="1" applyFont="1"/>
    <xf numFmtId="177" fontId="2" fillId="0" borderId="0" xfId="0" applyNumberFormat="1" applyFont="1" applyFill="1"/>
    <xf numFmtId="177" fontId="11" fillId="12" borderId="2" xfId="75" applyNumberFormat="1" applyFont="1" applyFill="1" applyBorder="1" applyAlignment="1">
      <alignment horizontal="center" vertical="center" wrapText="1"/>
    </xf>
    <xf numFmtId="0" fontId="6" fillId="4" borderId="2" xfId="63" applyFont="1" applyFill="1" applyBorder="1" applyAlignment="1">
      <alignment horizontal="center" vertical="center" wrapText="1"/>
    </xf>
    <xf numFmtId="0" fontId="5" fillId="4" borderId="2" xfId="51" applyFont="1" applyFill="1" applyBorder="1" applyAlignment="1" applyProtection="1">
      <alignment horizontal="left" vertical="center"/>
      <protection locked="0"/>
    </xf>
    <xf numFmtId="179" fontId="11" fillId="4" borderId="2" xfId="76" applyNumberFormat="1" applyFont="1" applyFill="1" applyBorder="1" applyAlignment="1">
      <alignment horizontal="center" vertical="center" wrapText="1"/>
    </xf>
    <xf numFmtId="177" fontId="11" fillId="4" borderId="2" xfId="75" applyNumberFormat="1" applyFont="1" applyFill="1" applyBorder="1" applyAlignment="1">
      <alignment horizontal="center" vertical="center" wrapText="1"/>
    </xf>
    <xf numFmtId="180" fontId="7" fillId="4" borderId="2" xfId="75" applyNumberFormat="1" applyFont="1" applyFill="1" applyBorder="1" applyAlignment="1">
      <alignment horizontal="center" vertical="center" wrapText="1"/>
    </xf>
    <xf numFmtId="0" fontId="5" fillId="11" borderId="3" xfId="63" applyFont="1" applyFill="1" applyBorder="1" applyAlignment="1">
      <alignment horizontal="center" vertical="center" wrapText="1"/>
    </xf>
    <xf numFmtId="0" fontId="6" fillId="11" borderId="4" xfId="63" applyFont="1" applyFill="1" applyBorder="1" applyAlignment="1">
      <alignment horizontal="center" vertical="center" wrapText="1"/>
    </xf>
    <xf numFmtId="182" fontId="7" fillId="11" borderId="2" xfId="75" applyNumberFormat="1" applyFont="1" applyFill="1" applyBorder="1" applyAlignment="1">
      <alignment horizontal="center" vertical="center" wrapText="1"/>
    </xf>
    <xf numFmtId="0" fontId="7" fillId="11" borderId="2" xfId="51" applyFont="1" applyFill="1" applyBorder="1" applyAlignment="1" applyProtection="1">
      <alignment horizontal="center" vertical="center"/>
      <protection locked="0"/>
    </xf>
    <xf numFmtId="179" fontId="11" fillId="11" borderId="2" xfId="76" applyNumberFormat="1" applyFont="1" applyFill="1" applyBorder="1" applyAlignment="1">
      <alignment horizontal="center" vertical="center" wrapText="1"/>
    </xf>
    <xf numFmtId="177" fontId="11" fillId="11" borderId="2" xfId="75" applyNumberFormat="1" applyFont="1" applyFill="1" applyBorder="1" applyAlignment="1">
      <alignment horizontal="center" vertical="center" wrapText="1"/>
    </xf>
    <xf numFmtId="180" fontId="7" fillId="11" borderId="2" xfId="75" applyNumberFormat="1" applyFont="1" applyFill="1" applyBorder="1" applyAlignment="1">
      <alignment horizontal="center" vertical="center" wrapText="1"/>
    </xf>
    <xf numFmtId="0" fontId="2" fillId="13" borderId="0" xfId="0" applyFont="1" applyFill="1"/>
    <xf numFmtId="0" fontId="1" fillId="2" borderId="0" xfId="0" applyFont="1" applyFill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81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88" fontId="12" fillId="9" borderId="2" xfId="76" applyNumberFormat="1" applyFont="1" applyFill="1" applyBorder="1" applyAlignment="1">
      <alignment horizontal="center" vertical="center" wrapText="1"/>
    </xf>
    <xf numFmtId="187" fontId="12" fillId="9" borderId="2" xfId="76" applyNumberFormat="1" applyFont="1" applyFill="1" applyBorder="1" applyAlignment="1">
      <alignment horizontal="center" vertical="center" wrapText="1"/>
    </xf>
    <xf numFmtId="9" fontId="12" fillId="9" borderId="2" xfId="76" applyNumberFormat="1" applyFont="1" applyFill="1" applyBorder="1" applyAlignment="1">
      <alignment horizontal="center" vertical="center" wrapText="1"/>
    </xf>
    <xf numFmtId="0" fontId="13" fillId="5" borderId="2" xfId="76" applyFont="1" applyFill="1" applyBorder="1" applyAlignment="1">
      <alignment horizontal="center" vertical="center" wrapText="1"/>
    </xf>
    <xf numFmtId="183" fontId="13" fillId="4" borderId="2" xfId="76" applyNumberFormat="1" applyFont="1" applyFill="1" applyBorder="1" applyAlignment="1">
      <alignment horizontal="center" vertical="center" wrapText="1"/>
    </xf>
    <xf numFmtId="183" fontId="13" fillId="5" borderId="2" xfId="76" applyNumberFormat="1" applyFont="1" applyFill="1" applyBorder="1" applyAlignment="1">
      <alignment horizontal="center" vertical="center" wrapText="1"/>
    </xf>
    <xf numFmtId="187" fontId="13" fillId="5" borderId="2" xfId="76" applyNumberFormat="1" applyFont="1" applyFill="1" applyBorder="1" applyAlignment="1">
      <alignment horizontal="center" vertical="center" wrapText="1"/>
    </xf>
    <xf numFmtId="188" fontId="13" fillId="5" borderId="2" xfId="76" applyNumberFormat="1" applyFont="1" applyFill="1" applyBorder="1" applyAlignment="1">
      <alignment horizontal="center" vertical="center" wrapText="1"/>
    </xf>
    <xf numFmtId="178" fontId="13" fillId="5" borderId="2" xfId="12" applyNumberFormat="1" applyFont="1" applyFill="1" applyBorder="1" applyAlignment="1">
      <alignment horizontal="center" vertical="center" wrapText="1"/>
    </xf>
    <xf numFmtId="0" fontId="13" fillId="4" borderId="2" xfId="76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179" fontId="13" fillId="5" borderId="2" xfId="76" applyNumberFormat="1" applyFont="1" applyFill="1" applyBorder="1" applyAlignment="1">
      <alignment horizontal="center" vertical="center" wrapText="1"/>
    </xf>
    <xf numFmtId="178" fontId="7" fillId="11" borderId="2" xfId="16" applyNumberFormat="1" applyFont="1" applyFill="1" applyBorder="1" applyAlignment="1">
      <alignment horizontal="center" vertical="center" wrapText="1"/>
    </xf>
    <xf numFmtId="0" fontId="7" fillId="11" borderId="2" xfId="75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181" fontId="2" fillId="4" borderId="2" xfId="0" applyNumberFormat="1" applyFont="1" applyFill="1" applyBorder="1" applyAlignment="1">
      <alignment horizontal="center"/>
    </xf>
    <xf numFmtId="188" fontId="12" fillId="9" borderId="1" xfId="76" applyNumberFormat="1" applyFont="1" applyFill="1" applyBorder="1" applyAlignment="1">
      <alignment horizontal="center" vertical="center" wrapText="1"/>
    </xf>
    <xf numFmtId="188" fontId="13" fillId="5" borderId="3" xfId="76" applyNumberFormat="1" applyFont="1" applyFill="1" applyBorder="1" applyAlignment="1">
      <alignment horizontal="center" vertical="center" wrapText="1"/>
    </xf>
    <xf numFmtId="188" fontId="13" fillId="5" borderId="8" xfId="76" applyNumberFormat="1" applyFont="1" applyFill="1" applyBorder="1" applyAlignment="1">
      <alignment horizontal="center" vertical="center" wrapText="1"/>
    </xf>
    <xf numFmtId="188" fontId="13" fillId="5" borderId="4" xfId="76" applyNumberFormat="1" applyFont="1" applyFill="1" applyBorder="1" applyAlignment="1">
      <alignment horizontal="center" vertical="center" wrapText="1"/>
    </xf>
    <xf numFmtId="179" fontId="13" fillId="4" borderId="2" xfId="76" applyNumberFormat="1" applyFont="1" applyFill="1" applyBorder="1" applyAlignment="1">
      <alignment horizontal="center" vertical="center" wrapText="1"/>
    </xf>
    <xf numFmtId="179" fontId="13" fillId="11" borderId="2" xfId="76" applyNumberFormat="1" applyFont="1" applyFill="1" applyBorder="1" applyAlignment="1">
      <alignment horizontal="center" vertical="center" wrapText="1"/>
    </xf>
    <xf numFmtId="177" fontId="7" fillId="4" borderId="3" xfId="75" applyNumberFormat="1" applyFont="1" applyFill="1" applyBorder="1" applyAlignment="1">
      <alignment horizontal="center" vertical="center" wrapText="1"/>
    </xf>
    <xf numFmtId="180" fontId="7" fillId="11" borderId="3" xfId="75" applyNumberFormat="1" applyFont="1" applyFill="1" applyBorder="1" applyAlignment="1">
      <alignment horizontal="center" vertical="center" wrapText="1"/>
    </xf>
    <xf numFmtId="184" fontId="7" fillId="12" borderId="2" xfId="63" applyNumberFormat="1" applyFont="1" applyFill="1" applyBorder="1" applyAlignment="1">
      <alignment horizontal="center" vertical="center" wrapText="1"/>
    </xf>
    <xf numFmtId="178" fontId="7" fillId="4" borderId="2" xfId="12" applyNumberFormat="1" applyFont="1" applyFill="1" applyBorder="1" applyAlignment="1">
      <alignment horizontal="center" vertical="center" wrapText="1"/>
    </xf>
    <xf numFmtId="184" fontId="7" fillId="4" borderId="6" xfId="63" applyNumberFormat="1" applyFont="1" applyFill="1" applyBorder="1" applyAlignment="1">
      <alignment horizontal="center" vertical="center" wrapText="1"/>
    </xf>
    <xf numFmtId="187" fontId="7" fillId="4" borderId="2" xfId="63" applyNumberFormat="1" applyFont="1" applyFill="1" applyBorder="1" applyAlignment="1">
      <alignment horizontal="center" vertical="center" wrapText="1"/>
    </xf>
    <xf numFmtId="187" fontId="7" fillId="11" borderId="2" xfId="63" applyNumberFormat="1" applyFont="1" applyFill="1" applyBorder="1" applyAlignment="1">
      <alignment horizontal="center" vertical="center" wrapText="1"/>
    </xf>
    <xf numFmtId="177" fontId="5" fillId="11" borderId="2" xfId="75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80" fontId="1" fillId="0" borderId="0" xfId="0" applyNumberFormat="1" applyFont="1"/>
    <xf numFmtId="0" fontId="12" fillId="9" borderId="2" xfId="76" applyFont="1" applyFill="1" applyBorder="1" applyAlignment="1">
      <alignment horizontal="center" vertical="center" wrapText="1"/>
    </xf>
    <xf numFmtId="179" fontId="12" fillId="9" borderId="3" xfId="76" applyNumberFormat="1" applyFont="1" applyFill="1" applyBorder="1" applyAlignment="1">
      <alignment horizontal="center" vertical="center" wrapText="1"/>
    </xf>
    <xf numFmtId="179" fontId="12" fillId="9" borderId="4" xfId="76" applyNumberFormat="1" applyFont="1" applyFill="1" applyBorder="1" applyAlignment="1">
      <alignment horizontal="center" vertical="center" wrapText="1"/>
    </xf>
    <xf numFmtId="179" fontId="12" fillId="9" borderId="2" xfId="76" applyNumberFormat="1" applyFont="1" applyFill="1" applyBorder="1" applyAlignment="1">
      <alignment horizontal="center" vertical="center" wrapText="1"/>
    </xf>
    <xf numFmtId="187" fontId="12" fillId="9" borderId="3" xfId="76" applyNumberFormat="1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 wrapText="1"/>
    </xf>
    <xf numFmtId="179" fontId="13" fillId="5" borderId="3" xfId="76" applyNumberFormat="1" applyFont="1" applyFill="1" applyBorder="1" applyAlignment="1">
      <alignment horizontal="center" vertical="center" wrapText="1"/>
    </xf>
    <xf numFmtId="179" fontId="13" fillId="5" borderId="4" xfId="76" applyNumberFormat="1" applyFont="1" applyFill="1" applyBorder="1" applyAlignment="1">
      <alignment horizontal="center" vertical="center" wrapText="1"/>
    </xf>
    <xf numFmtId="0" fontId="13" fillId="5" borderId="2" xfId="76" applyNumberFormat="1" applyFont="1" applyFill="1" applyBorder="1" applyAlignment="1">
      <alignment horizontal="center" vertical="center" wrapText="1"/>
    </xf>
    <xf numFmtId="188" fontId="14" fillId="5" borderId="2" xfId="76" applyNumberFormat="1" applyFont="1" applyFill="1" applyBorder="1" applyAlignment="1">
      <alignment horizontal="center" vertical="center" wrapText="1"/>
    </xf>
    <xf numFmtId="187" fontId="13" fillId="5" borderId="3" xfId="76" applyNumberFormat="1" applyFont="1" applyFill="1" applyBorder="1" applyAlignment="1">
      <alignment horizontal="center" vertical="center" wrapText="1"/>
    </xf>
    <xf numFmtId="187" fontId="12" fillId="9" borderId="8" xfId="76" applyNumberFormat="1" applyFont="1" applyFill="1" applyBorder="1" applyAlignment="1">
      <alignment horizontal="center" vertical="center" wrapText="1"/>
    </xf>
    <xf numFmtId="187" fontId="12" fillId="9" borderId="4" xfId="76" applyNumberFormat="1" applyFont="1" applyFill="1" applyBorder="1" applyAlignment="1">
      <alignment horizontal="center" vertical="center" wrapText="1"/>
    </xf>
    <xf numFmtId="187" fontId="13" fillId="5" borderId="8" xfId="76" applyNumberFormat="1" applyFont="1" applyFill="1" applyBorder="1" applyAlignment="1">
      <alignment horizontal="center" vertical="center" wrapText="1"/>
    </xf>
    <xf numFmtId="187" fontId="13" fillId="5" borderId="4" xfId="76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2" fillId="1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178" fontId="0" fillId="0" borderId="2" xfId="12" applyNumberFormat="1" applyFont="1" applyBorder="1" applyAlignment="1">
      <alignment horizontal="center" vertical="center"/>
    </xf>
    <xf numFmtId="10" fontId="0" fillId="0" borderId="2" xfId="12" applyNumberFormat="1" applyFont="1" applyBorder="1" applyAlignment="1">
      <alignment horizontal="center" vertical="center"/>
    </xf>
    <xf numFmtId="178" fontId="0" fillId="15" borderId="2" xfId="12" applyNumberFormat="1" applyFont="1" applyFill="1" applyBorder="1" applyAlignment="1">
      <alignment horizontal="center" vertical="center"/>
    </xf>
    <xf numFmtId="187" fontId="12" fillId="9" borderId="2" xfId="76" applyNumberFormat="1" applyFont="1" applyFill="1" applyBorder="1" applyAlignment="1" quotePrefix="1">
      <alignment horizontal="center" vertical="center" wrapText="1"/>
    </xf>
    <xf numFmtId="188" fontId="13" fillId="5" borderId="2" xfId="76" applyNumberFormat="1" applyFont="1" applyFill="1" applyBorder="1" applyAlignment="1" quotePrefix="1">
      <alignment horizontal="center" vertical="center" wrapText="1"/>
    </xf>
  </cellXfs>
  <cellStyles count="78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百分比 2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百分比 4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常规 12 2 10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常规 2 2 3" xfId="43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常规 2 3" xfId="56"/>
    <cellStyle name="40% - 强调文字颜色 6" xfId="57" builtinId="51"/>
    <cellStyle name="常规 10 2" xfId="58"/>
    <cellStyle name="60% - 强调文字颜色 6" xfId="59" builtinId="52"/>
    <cellStyle name="Normal_BUC M84-Keyboard-02_01_07-check.xls 2" xfId="60"/>
    <cellStyle name="百分比 3" xfId="61"/>
    <cellStyle name="常规 10 2 2" xfId="62"/>
    <cellStyle name="常规 2" xfId="63"/>
    <cellStyle name="常规 2 2 13" xfId="64"/>
    <cellStyle name="常规 2 4" xfId="65"/>
    <cellStyle name="常规 2 60" xfId="66"/>
    <cellStyle name="常规 3" xfId="67"/>
    <cellStyle name="常规 3 2" xfId="68"/>
    <cellStyle name="常规 4" xfId="69"/>
    <cellStyle name="常规 4 2" xfId="70"/>
    <cellStyle name="常规 5" xfId="71"/>
    <cellStyle name="常规 7" xfId="72"/>
    <cellStyle name="常规 74" xfId="73"/>
    <cellStyle name="常规 8" xfId="74"/>
    <cellStyle name="常规_Book1" xfId="75"/>
    <cellStyle name="常规_报价单及报价申请单060330 (2)" xfId="76"/>
    <cellStyle name="样式 1" xfId="7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152400</xdr:colOff>
      <xdr:row>129</xdr:row>
      <xdr:rowOff>160021</xdr:rowOff>
    </xdr:from>
    <xdr:to>
      <xdr:col>1</xdr:col>
      <xdr:colOff>43815</xdr:colOff>
      <xdr:row>130</xdr:row>
      <xdr:rowOff>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2400" y="22250400"/>
          <a:ext cx="26543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184150</xdr:colOff>
      <xdr:row>25</xdr:row>
      <xdr:rowOff>190500</xdr:rowOff>
    </xdr:from>
    <xdr:to>
      <xdr:col>0</xdr:col>
      <xdr:colOff>420279</xdr:colOff>
      <xdr:row>25</xdr:row>
      <xdr:rowOff>192405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4150" y="7254875"/>
          <a:ext cx="235585" cy="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SC805\&#25215;&#35469;&#26360;\XC03008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dktwny02\e-dep\USER\YEC05\34&#20107;&#26989;&#36039;&#26009;\&#27161;&#28310;&#25104;&#26412;&#34920;\&#27161;&#28310;&#25104;&#26412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\&#20849;&#20139;&#25991;&#26723;\&#26242;&#23384;\&#25253;&#20215;&#27719;&#24635;1.1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SC805\&#25215;&#35469;&#26360;\XC03008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-02\LLL\GSYL\X-01ok\ZA01A20(&#26032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26.175\ie\&#31934;&#23494;IE&#25104;&#26412;\&#25968;&#25454;&#24211;\&#22522;&#30784;&#24037;&#26102;&#25968;&#25454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"/>
      <sheetName val="非機種"/>
      <sheetName val="所有辅料"/>
      <sheetName val="FA-LISTING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000000"/>
      <sheetName val="仕掛"/>
      <sheetName val="材料"/>
      <sheetName val="製品"/>
      <sheetName val="商品"/>
      <sheetName val="棚卸"/>
      <sheetName val="差異"/>
      <sheetName val="試算"/>
      <sheetName val="指標"/>
      <sheetName val="部材"/>
      <sheetName val="雜收支"/>
      <sheetName val="不具合"/>
      <sheetName val="欠品"/>
      <sheetName val="data sheet"/>
      <sheetName val="Chart data"/>
      <sheetName val="A"/>
      <sheetName val="340S8 Ju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成本汇总"/>
      <sheetName val="IE汇总"/>
      <sheetName val="基础数据"/>
      <sheetName val="机型信息"/>
      <sheetName val="A3"/>
      <sheetName val="A8"/>
      <sheetName val="15029"/>
      <sheetName val="liz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"/>
      <sheetName val="Issues List"/>
      <sheetName val="3w"/>
      <sheetName val="4w"/>
      <sheetName val="IE汇总"/>
      <sheetName val="X-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"/>
      <sheetName val="G"/>
      <sheetName val="F"/>
      <sheetName val="E"/>
      <sheetName val="D"/>
      <sheetName val="C"/>
      <sheetName val="B"/>
      <sheetName val="A"/>
      <sheetName val="数据"/>
      <sheetName val="良率走势图"/>
      <sheetName val="IncSt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结算单价备案"/>
      <sheetName val="薪资物耗费用预算"/>
      <sheetName val="机型加工信息"/>
      <sheetName val="监控模板"/>
      <sheetName val="目录"/>
      <sheetName val="数据中转"/>
      <sheetName val="Data.Out"/>
      <sheetName val="Data.Out2"/>
      <sheetName val="成本预算"/>
      <sheetName val="单价变更记录"/>
      <sheetName val="冲压"/>
      <sheetName val="挤压"/>
      <sheetName val="CNC"/>
      <sheetName val="CNC全检"/>
      <sheetName val="检验三课（未启用）"/>
      <sheetName val="注塑"/>
      <sheetName val="检包"/>
      <sheetName val="高光"/>
      <sheetName val="打磨"/>
      <sheetName val="市场部数据整理"/>
      <sheetName val="氧化"/>
      <sheetName val="清洗"/>
      <sheetName val="报价单"/>
      <sheetName val="机型单价提供"/>
      <sheetName val="理论产值比"/>
      <sheetName val="待用"/>
      <sheetName val="平级转序信息"/>
      <sheetName val="自定义数据筛选"/>
      <sheetName val="COGS"/>
      <sheetName val="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2:L20"/>
  <sheetViews>
    <sheetView topLeftCell="A4" workbookViewId="0">
      <selection activeCell="E23" sqref="E23"/>
    </sheetView>
  </sheetViews>
  <sheetFormatPr defaultColWidth="9" defaultRowHeight="13.5"/>
  <cols>
    <col min="2" max="2" width="16.9083333333333" customWidth="1"/>
    <col min="3" max="3" width="18.45" customWidth="1"/>
    <col min="4" max="4" width="19.0916666666667" customWidth="1"/>
    <col min="5" max="5" width="14.9083333333333" customWidth="1"/>
    <col min="7" max="7" width="15" customWidth="1"/>
  </cols>
  <sheetData>
    <row r="2" spans="2:4">
      <c r="B2" s="246"/>
      <c r="C2" s="246" t="s">
        <v>0</v>
      </c>
      <c r="D2" s="246" t="s">
        <v>1</v>
      </c>
    </row>
    <row r="3" spans="2:4">
      <c r="B3" s="247" t="s">
        <v>2</v>
      </c>
      <c r="C3" s="246" t="s">
        <v>3</v>
      </c>
      <c r="D3" s="246" t="s">
        <v>4</v>
      </c>
    </row>
    <row r="4" ht="76.5" customHeight="1" spans="2:5">
      <c r="B4" s="247"/>
      <c r="C4" s="248" t="s">
        <v>5</v>
      </c>
      <c r="D4" s="248" t="s">
        <v>6</v>
      </c>
      <c r="E4" s="249" t="s">
        <v>7</v>
      </c>
    </row>
    <row r="5" ht="14.25" customHeight="1" spans="2:4">
      <c r="B5" s="250" t="s">
        <v>8</v>
      </c>
      <c r="C5" s="251" t="s">
        <v>9</v>
      </c>
      <c r="D5" s="251" t="s">
        <v>10</v>
      </c>
    </row>
    <row r="6" ht="70.5" customHeight="1" spans="2:4">
      <c r="B6" s="252"/>
      <c r="C6" s="248" t="s">
        <v>11</v>
      </c>
      <c r="D6" s="248" t="s">
        <v>12</v>
      </c>
    </row>
    <row r="7" ht="18.75" customHeight="1" spans="2:4">
      <c r="B7" s="247" t="s">
        <v>13</v>
      </c>
      <c r="C7" s="251" t="s">
        <v>14</v>
      </c>
      <c r="D7" s="251" t="s">
        <v>15</v>
      </c>
    </row>
    <row r="8" ht="39" customHeight="1" spans="2:4">
      <c r="B8" s="247"/>
      <c r="C8" s="253" t="s">
        <v>16</v>
      </c>
      <c r="D8" s="253" t="s">
        <v>17</v>
      </c>
    </row>
    <row r="9" ht="27.75" customHeight="1"/>
    <row r="10" ht="17.25" customHeight="1"/>
    <row r="11" ht="27" spans="2:12">
      <c r="B11" s="254" t="s">
        <v>18</v>
      </c>
      <c r="C11" s="255" t="s">
        <v>19</v>
      </c>
      <c r="D11" s="247" t="s">
        <v>20</v>
      </c>
      <c r="E11" s="247" t="s">
        <v>21</v>
      </c>
      <c r="F11" s="247" t="s">
        <v>22</v>
      </c>
      <c r="G11" s="256" t="s">
        <v>23</v>
      </c>
      <c r="H11" s="255" t="s">
        <v>24</v>
      </c>
      <c r="I11" s="262" t="s">
        <v>25</v>
      </c>
      <c r="J11" s="263" t="s">
        <v>26</v>
      </c>
      <c r="K11" s="264" t="s">
        <v>27</v>
      </c>
      <c r="L11" s="264" t="s">
        <v>28</v>
      </c>
    </row>
    <row r="12" spans="2:12">
      <c r="B12" s="247" t="s">
        <v>29</v>
      </c>
      <c r="C12" s="255">
        <v>12.09</v>
      </c>
      <c r="D12" s="247">
        <v>6.15</v>
      </c>
      <c r="E12" s="247">
        <v>1.72</v>
      </c>
      <c r="F12" s="247">
        <f>G12-D12-E12</f>
        <v>4.05</v>
      </c>
      <c r="G12" s="257">
        <v>11.92</v>
      </c>
      <c r="H12" s="255">
        <f>G12-0.35</f>
        <v>11.57</v>
      </c>
      <c r="I12" s="265">
        <v>11.71</v>
      </c>
      <c r="J12" s="247">
        <f t="shared" ref="J12:J18" si="0">I12-H12</f>
        <v>0.140000000000001</v>
      </c>
      <c r="K12" s="266">
        <f>1-C12/H12</f>
        <v>-0.044943820224719</v>
      </c>
      <c r="L12" s="266">
        <f>1-C12/I12</f>
        <v>-0.0324508966695132</v>
      </c>
    </row>
    <row r="13" spans="2:12">
      <c r="B13" s="247" t="s">
        <v>30</v>
      </c>
      <c r="C13" s="255">
        <v>8.97</v>
      </c>
      <c r="D13" s="247">
        <v>5.85</v>
      </c>
      <c r="E13" s="247">
        <v>2.26</v>
      </c>
      <c r="F13" s="247">
        <v>1.98</v>
      </c>
      <c r="G13" s="257">
        <v>10.09</v>
      </c>
      <c r="H13" s="255">
        <f>G13-1.35</f>
        <v>8.74</v>
      </c>
      <c r="I13" s="265">
        <v>9.01</v>
      </c>
      <c r="J13" s="247">
        <f t="shared" si="0"/>
        <v>0.27</v>
      </c>
      <c r="K13" s="266">
        <f t="shared" ref="K13:K20" si="1">1-C13/H13</f>
        <v>-0.0263157894736843</v>
      </c>
      <c r="L13" s="267">
        <f t="shared" ref="L13:L20" si="2">1-C13/I13</f>
        <v>0.00443951165371803</v>
      </c>
    </row>
    <row r="14" ht="22.5" customHeight="1" spans="2:12">
      <c r="B14" s="247" t="s">
        <v>31</v>
      </c>
      <c r="C14" s="255">
        <v>14.41</v>
      </c>
      <c r="D14" s="247">
        <v>9.88</v>
      </c>
      <c r="E14" s="247">
        <v>2.56</v>
      </c>
      <c r="F14" s="247">
        <v>2.23</v>
      </c>
      <c r="G14" s="257">
        <f>SUM(D14:F14)</f>
        <v>14.67</v>
      </c>
      <c r="H14" s="255">
        <f>G14-1.88</f>
        <v>12.79</v>
      </c>
      <c r="I14" s="265">
        <v>13.06</v>
      </c>
      <c r="J14" s="247">
        <f t="shared" si="0"/>
        <v>0.269999999999998</v>
      </c>
      <c r="K14" s="266">
        <f t="shared" si="1"/>
        <v>-0.126661454261141</v>
      </c>
      <c r="L14" s="266">
        <f t="shared" si="2"/>
        <v>-0.103369065849923</v>
      </c>
    </row>
    <row r="15" spans="2:12">
      <c r="B15" s="247" t="s">
        <v>32</v>
      </c>
      <c r="C15" s="255">
        <v>12.85</v>
      </c>
      <c r="D15" s="258">
        <v>9.2</v>
      </c>
      <c r="E15" s="247">
        <v>1.09</v>
      </c>
      <c r="F15" s="247">
        <v>2.25</v>
      </c>
      <c r="G15" s="259">
        <v>14.11</v>
      </c>
      <c r="H15" s="255">
        <v>12.35</v>
      </c>
      <c r="I15" s="265">
        <v>12.85</v>
      </c>
      <c r="J15" s="247">
        <f t="shared" si="0"/>
        <v>0.5</v>
      </c>
      <c r="K15" s="266">
        <f t="shared" si="1"/>
        <v>-0.0404858299595141</v>
      </c>
      <c r="L15" s="266">
        <f t="shared" si="2"/>
        <v>0</v>
      </c>
    </row>
    <row r="16" spans="2:12">
      <c r="B16" s="247" t="s">
        <v>33</v>
      </c>
      <c r="C16" s="255">
        <v>5.63</v>
      </c>
      <c r="D16" s="247">
        <v>1.56</v>
      </c>
      <c r="E16" s="247">
        <v>1.17</v>
      </c>
      <c r="F16" s="247">
        <v>3.38</v>
      </c>
      <c r="G16" s="257">
        <v>6.11</v>
      </c>
      <c r="H16" s="255">
        <f>G16-0.73</f>
        <v>5.38</v>
      </c>
      <c r="I16" s="265">
        <v>5.6</v>
      </c>
      <c r="J16" s="247">
        <f t="shared" si="0"/>
        <v>0.219999999999999</v>
      </c>
      <c r="K16" s="266">
        <f t="shared" si="1"/>
        <v>-0.0464684014869887</v>
      </c>
      <c r="L16" s="266">
        <f t="shared" si="2"/>
        <v>-0.00535714285714284</v>
      </c>
    </row>
    <row r="17" spans="2:12">
      <c r="B17" s="247" t="s">
        <v>34</v>
      </c>
      <c r="C17" s="255">
        <v>0.31</v>
      </c>
      <c r="D17" s="247">
        <v>0.11</v>
      </c>
      <c r="E17" s="247">
        <v>0.28</v>
      </c>
      <c r="F17" s="247">
        <v>0.12</v>
      </c>
      <c r="G17" s="257">
        <v>0.51</v>
      </c>
      <c r="H17" s="255">
        <v>0.28</v>
      </c>
      <c r="I17" s="265">
        <v>0.32</v>
      </c>
      <c r="J17" s="247">
        <f t="shared" si="0"/>
        <v>0.04</v>
      </c>
      <c r="K17" s="266">
        <f t="shared" si="1"/>
        <v>-0.107142857142857</v>
      </c>
      <c r="L17" s="266">
        <f t="shared" si="2"/>
        <v>0.03125</v>
      </c>
    </row>
    <row r="18" spans="2:12">
      <c r="B18" s="247" t="s">
        <v>35</v>
      </c>
      <c r="C18" s="255">
        <v>0.23</v>
      </c>
      <c r="D18" s="247">
        <v>0.12</v>
      </c>
      <c r="E18" s="247">
        <v>0.12</v>
      </c>
      <c r="F18" s="247">
        <v>0.09</v>
      </c>
      <c r="G18" s="257">
        <v>0.33</v>
      </c>
      <c r="H18" s="255">
        <v>0.2</v>
      </c>
      <c r="I18" s="265">
        <v>0.23</v>
      </c>
      <c r="J18" s="247">
        <f t="shared" si="0"/>
        <v>0.03</v>
      </c>
      <c r="K18" s="266">
        <f t="shared" si="1"/>
        <v>-0.15</v>
      </c>
      <c r="L18" s="266">
        <f t="shared" si="2"/>
        <v>0</v>
      </c>
    </row>
    <row r="19" ht="27" spans="2:12">
      <c r="B19" s="260" t="s">
        <v>36</v>
      </c>
      <c r="C19" s="261">
        <f>SUM(C12:C18)-C14</f>
        <v>40.08</v>
      </c>
      <c r="D19" s="261">
        <f>SUM(D12:D18)-D14</f>
        <v>22.99</v>
      </c>
      <c r="E19" s="261">
        <f t="shared" ref="E19:J19" si="3">SUM(E12:E18)-E14</f>
        <v>6.64</v>
      </c>
      <c r="F19" s="261">
        <f t="shared" si="3"/>
        <v>11.87</v>
      </c>
      <c r="G19" s="261">
        <f t="shared" si="3"/>
        <v>43.07</v>
      </c>
      <c r="H19" s="261">
        <f t="shared" si="3"/>
        <v>38.52</v>
      </c>
      <c r="I19" s="261">
        <f t="shared" si="3"/>
        <v>39.72</v>
      </c>
      <c r="J19" s="261">
        <f t="shared" si="3"/>
        <v>1.2</v>
      </c>
      <c r="K19" s="268">
        <f t="shared" si="1"/>
        <v>-0.0404984423676009</v>
      </c>
      <c r="L19" s="268">
        <f t="shared" si="2"/>
        <v>-0.00906344410876136</v>
      </c>
    </row>
    <row r="20" ht="27" spans="2:12">
      <c r="B20" s="260" t="s">
        <v>37</v>
      </c>
      <c r="C20" s="261">
        <f>SUM(C12:C18)-C13</f>
        <v>45.52</v>
      </c>
      <c r="D20" s="261">
        <f>SUM(D12:D18)-D13</f>
        <v>27.02</v>
      </c>
      <c r="E20" s="261">
        <f t="shared" ref="E20:J20" si="4">SUM(E12:E18)-E13</f>
        <v>6.94</v>
      </c>
      <c r="F20" s="261">
        <f t="shared" si="4"/>
        <v>12.12</v>
      </c>
      <c r="G20" s="261">
        <f t="shared" si="4"/>
        <v>47.65</v>
      </c>
      <c r="H20" s="261">
        <f t="shared" si="4"/>
        <v>42.57</v>
      </c>
      <c r="I20" s="261">
        <f t="shared" si="4"/>
        <v>43.77</v>
      </c>
      <c r="J20" s="261">
        <f t="shared" si="4"/>
        <v>1.2</v>
      </c>
      <c r="K20" s="268">
        <f t="shared" si="1"/>
        <v>-0.0692976274371619</v>
      </c>
      <c r="L20" s="268">
        <f t="shared" si="2"/>
        <v>-0.0399817226410784</v>
      </c>
    </row>
  </sheetData>
  <mergeCells count="3">
    <mergeCell ref="B3:B4"/>
    <mergeCell ref="B5:B6"/>
    <mergeCell ref="B7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AH137"/>
  <sheetViews>
    <sheetView workbookViewId="0">
      <pane xSplit="2" ySplit="3" topLeftCell="U4" activePane="bottomRight" state="frozen"/>
      <selection/>
      <selection pane="topRight"/>
      <selection pane="bottomLeft"/>
      <selection pane="bottomRight" activeCell="AA16" sqref="AA16"/>
    </sheetView>
  </sheetViews>
  <sheetFormatPr defaultColWidth="9" defaultRowHeight="12"/>
  <cols>
    <col min="1" max="1" width="4.90833333333333" style="104" customWidth="1"/>
    <col min="2" max="2" width="27.0916666666667" style="104" customWidth="1"/>
    <col min="3" max="3" width="9.09166666666667" style="104" hidden="1" customWidth="1"/>
    <col min="4" max="4" width="7.45" style="104" customWidth="1"/>
    <col min="5" max="5" width="16.9083333333333" style="104" customWidth="1"/>
    <col min="6" max="6" width="8.63333333333333" style="104" customWidth="1"/>
    <col min="7" max="8" width="7.45" style="104" customWidth="1"/>
    <col min="9" max="9" width="6.36666666666667" style="104" customWidth="1"/>
    <col min="10" max="10" width="8.09166666666667" style="104" customWidth="1"/>
    <col min="11" max="11" width="8.09166666666667" style="103" customWidth="1"/>
    <col min="12" max="12" width="7.09166666666667" style="104" customWidth="1"/>
    <col min="13" max="13" width="9.09166666666667" style="104" customWidth="1"/>
    <col min="14" max="16" width="7.36666666666667" style="103" customWidth="1"/>
    <col min="17" max="18" width="7.90833333333333" style="104" customWidth="1"/>
    <col min="19" max="19" width="8" style="104" customWidth="1"/>
    <col min="20" max="21" width="7.90833333333333" style="104" customWidth="1"/>
    <col min="22" max="23" width="9.09166666666667" style="104" customWidth="1"/>
    <col min="24" max="24" width="7.90833333333333" style="104" customWidth="1"/>
    <col min="25" max="25" width="7" style="104" customWidth="1"/>
    <col min="26" max="27" width="8.09166666666667" style="104" customWidth="1"/>
    <col min="28" max="28" width="7.36666666666667" style="104" customWidth="1"/>
    <col min="29" max="29" width="8.45" style="104" customWidth="1"/>
    <col min="30" max="30" width="4.90833333333333" style="104" customWidth="1"/>
    <col min="31" max="31" width="9.90833333333333" style="104" customWidth="1"/>
    <col min="32" max="32" width="9.45" style="104" customWidth="1"/>
    <col min="33" max="16384" width="9" style="104"/>
  </cols>
  <sheetData>
    <row r="1" ht="25.5" customHeight="1" spans="1:32">
      <c r="A1" s="105" t="s">
        <v>38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</row>
    <row r="2" s="102" customFormat="1" spans="1:16">
      <c r="A2" s="102" t="s">
        <v>39</v>
      </c>
      <c r="E2" s="102" t="s">
        <v>40</v>
      </c>
      <c r="K2" s="127" t="s">
        <v>41</v>
      </c>
      <c r="N2" s="127"/>
      <c r="O2" s="127"/>
      <c r="P2" s="127"/>
    </row>
    <row r="3" s="102" customFormat="1" ht="36" spans="1:32">
      <c r="A3" s="106" t="s">
        <v>42</v>
      </c>
      <c r="B3" s="106" t="s">
        <v>43</v>
      </c>
      <c r="C3" s="107" t="s">
        <v>44</v>
      </c>
      <c r="D3" s="107" t="s">
        <v>45</v>
      </c>
      <c r="E3" s="108" t="s">
        <v>46</v>
      </c>
      <c r="F3" s="109" t="s">
        <v>47</v>
      </c>
      <c r="G3" s="109" t="s">
        <v>48</v>
      </c>
      <c r="H3" s="109" t="s">
        <v>49</v>
      </c>
      <c r="I3" s="128" t="s">
        <v>50</v>
      </c>
      <c r="J3" s="109" t="s">
        <v>51</v>
      </c>
      <c r="K3" s="129" t="s">
        <v>52</v>
      </c>
      <c r="L3" s="130" t="s">
        <v>53</v>
      </c>
      <c r="M3" s="131" t="s">
        <v>54</v>
      </c>
      <c r="N3" s="129" t="s">
        <v>55</v>
      </c>
      <c r="O3" s="129" t="s">
        <v>56</v>
      </c>
      <c r="P3" s="129" t="s">
        <v>57</v>
      </c>
      <c r="Q3" s="130" t="s">
        <v>58</v>
      </c>
      <c r="R3" s="131" t="s">
        <v>59</v>
      </c>
      <c r="S3" s="131" t="s">
        <v>60</v>
      </c>
      <c r="T3" s="147" t="s">
        <v>61</v>
      </c>
      <c r="U3" s="131" t="s">
        <v>62</v>
      </c>
      <c r="V3" s="148" t="s">
        <v>63</v>
      </c>
      <c r="W3" s="149" t="s">
        <v>64</v>
      </c>
      <c r="X3" s="150" t="s">
        <v>65</v>
      </c>
      <c r="Y3" s="170" t="s">
        <v>66</v>
      </c>
      <c r="Z3" s="150" t="s">
        <v>67</v>
      </c>
      <c r="AA3" s="171" t="s">
        <v>68</v>
      </c>
      <c r="AB3" s="172" t="s">
        <v>69</v>
      </c>
      <c r="AC3" s="172" t="s">
        <v>70</v>
      </c>
      <c r="AD3" s="172" t="s">
        <v>71</v>
      </c>
      <c r="AE3" s="172" t="s">
        <v>72</v>
      </c>
      <c r="AF3" s="172" t="s">
        <v>73</v>
      </c>
    </row>
    <row r="4" ht="12.75" spans="1:32">
      <c r="A4" s="110">
        <v>1</v>
      </c>
      <c r="B4" s="111" t="s">
        <v>74</v>
      </c>
      <c r="C4" s="111"/>
      <c r="D4" s="112"/>
      <c r="E4" s="113"/>
      <c r="F4" s="71"/>
      <c r="G4" s="71"/>
      <c r="H4" s="71"/>
      <c r="I4" s="132"/>
      <c r="J4" s="71"/>
      <c r="K4" s="133"/>
      <c r="L4" s="134"/>
      <c r="M4" s="134"/>
      <c r="N4" s="133"/>
      <c r="O4" s="133"/>
      <c r="P4" s="133"/>
      <c r="Q4" s="134"/>
      <c r="R4" s="71"/>
      <c r="S4" s="71"/>
      <c r="T4" s="151"/>
      <c r="U4" s="152"/>
      <c r="V4" s="87"/>
      <c r="W4" s="87"/>
      <c r="X4" s="153"/>
      <c r="Y4" s="173"/>
      <c r="Z4" s="153"/>
      <c r="AA4" s="153">
        <v>0.19</v>
      </c>
      <c r="AB4" s="153">
        <v>0.1</v>
      </c>
      <c r="AC4" s="87">
        <f>(V4+Z4+AA4+AB4)*0.09</f>
        <v>0.0261</v>
      </c>
      <c r="AD4" s="174">
        <v>1</v>
      </c>
      <c r="AE4" s="175">
        <f>SUM(AE5:AE28)+AA4+AB4+AC4</f>
        <v>10.923048180945</v>
      </c>
      <c r="AF4" s="175">
        <f>AE4*1.13</f>
        <v>12.3430444444678</v>
      </c>
    </row>
    <row r="5" s="3" customFormat="1" ht="27" customHeight="1" spans="1:32">
      <c r="A5" s="26">
        <v>1.1</v>
      </c>
      <c r="B5" s="114" t="s">
        <v>2</v>
      </c>
      <c r="C5" s="115">
        <v>122500</v>
      </c>
      <c r="D5" s="28">
        <v>1</v>
      </c>
      <c r="E5" s="116" t="s">
        <v>75</v>
      </c>
      <c r="F5" s="117">
        <f>26/1.13</f>
        <v>23.0088495575221</v>
      </c>
      <c r="G5" s="118">
        <v>5</v>
      </c>
      <c r="H5" s="119">
        <v>13.5</v>
      </c>
      <c r="I5" s="135">
        <v>0.985</v>
      </c>
      <c r="J5" s="30" t="s">
        <v>76</v>
      </c>
      <c r="K5" s="136">
        <v>44.6</v>
      </c>
      <c r="L5" s="24">
        <v>12.5</v>
      </c>
      <c r="M5" s="137">
        <f>IFERROR(3600/L5*D5,"")</f>
        <v>288</v>
      </c>
      <c r="N5" s="138">
        <v>2</v>
      </c>
      <c r="O5" s="54"/>
      <c r="P5" s="136">
        <v>1</v>
      </c>
      <c r="Q5" s="137"/>
      <c r="R5" s="154">
        <f>(F5*(G5+H5))/I5/1000</f>
        <v>0.432145905395086</v>
      </c>
      <c r="S5" s="154">
        <f>IFERROR(K5/M5/I5,"")</f>
        <v>0.15721940214326</v>
      </c>
      <c r="T5" s="155">
        <f t="shared" ref="T5:T6" si="0">IFERROR(N5*20/M5/I5+O5*20/P5/I5,"")</f>
        <v>0.141003948110547</v>
      </c>
      <c r="U5" s="154">
        <f>IFERROR(T5*0.35/0.65,"")</f>
        <v>0.0759252028287561</v>
      </c>
      <c r="V5" s="156">
        <f>SUM(Q5:U5)</f>
        <v>0.806294458477649</v>
      </c>
      <c r="W5" s="154">
        <f>V5+Z6*AD6</f>
        <v>4.9390827429213</v>
      </c>
      <c r="X5" s="30"/>
      <c r="Y5" s="30"/>
      <c r="Z5" s="30"/>
      <c r="AA5" s="30"/>
      <c r="AB5" s="30"/>
      <c r="AC5" s="30">
        <f>(V5+Z5+AA5+AB5)*0.09</f>
        <v>0.0725665012629884</v>
      </c>
      <c r="AD5" s="91">
        <v>1</v>
      </c>
      <c r="AE5" s="30">
        <f>(V5+Z5+AA5+AB5+AC5)*AD5</f>
        <v>0.878860959740637</v>
      </c>
      <c r="AF5" s="30">
        <f>AE5*1.13</f>
        <v>0.99311288450692</v>
      </c>
    </row>
    <row r="6" s="3" customFormat="1" ht="12.75" spans="1:32">
      <c r="A6" s="120">
        <v>1.2</v>
      </c>
      <c r="B6" s="121" t="s">
        <v>77</v>
      </c>
      <c r="C6" s="122"/>
      <c r="D6" s="122"/>
      <c r="E6" s="116"/>
      <c r="F6" s="123"/>
      <c r="G6" s="24"/>
      <c r="H6" s="24"/>
      <c r="I6" s="139"/>
      <c r="J6" s="140"/>
      <c r="K6" s="141"/>
      <c r="L6" s="142"/>
      <c r="M6" s="137" t="str">
        <f t="shared" ref="M6" si="1">IFERROR(3600/L6*D6,"")</f>
        <v/>
      </c>
      <c r="N6" s="143"/>
      <c r="O6" s="143"/>
      <c r="P6" s="143"/>
      <c r="Q6" s="157"/>
      <c r="R6" s="158"/>
      <c r="S6" s="154" t="str">
        <f t="shared" ref="S6" si="2">IFERROR(K6/M6/I6,"")</f>
        <v/>
      </c>
      <c r="T6" s="155" t="str">
        <f t="shared" si="0"/>
        <v/>
      </c>
      <c r="U6" s="154" t="str">
        <f t="shared" ref="U6" si="3">IFERROR(T6*0.35/0.65,"")</f>
        <v/>
      </c>
      <c r="V6" s="156"/>
      <c r="W6" s="158"/>
      <c r="X6" s="159">
        <f>4.6/1.13</f>
        <v>4.07079646017699</v>
      </c>
      <c r="Y6" s="176">
        <f>1-I5</f>
        <v>0.015</v>
      </c>
      <c r="Z6" s="165">
        <f>X6/(1-Y6)</f>
        <v>4.13278828444365</v>
      </c>
      <c r="AA6" s="140"/>
      <c r="AB6" s="140"/>
      <c r="AC6" s="30">
        <f t="shared" ref="AC6:AC77" si="4">(V6+Z6+AA6+AB6)*0.09</f>
        <v>0.371950945599928</v>
      </c>
      <c r="AD6" s="177">
        <v>1</v>
      </c>
      <c r="AE6" s="165">
        <f>(V6+Z6+AA6+AB6+AC6)*AD6</f>
        <v>4.50473923004357</v>
      </c>
      <c r="AF6" s="165">
        <f>AE6*1.13</f>
        <v>5.09035532994924</v>
      </c>
    </row>
    <row r="7" ht="12.75" hidden="1" spans="1:32">
      <c r="A7" s="26"/>
      <c r="B7" s="27" t="s">
        <v>78</v>
      </c>
      <c r="C7" s="28"/>
      <c r="D7" s="21"/>
      <c r="E7" s="116" t="s">
        <v>79</v>
      </c>
      <c r="F7" s="117"/>
      <c r="G7" s="30"/>
      <c r="H7" s="30"/>
      <c r="I7" s="25">
        <v>1</v>
      </c>
      <c r="J7" s="30"/>
      <c r="K7" s="136"/>
      <c r="L7" s="56"/>
      <c r="M7" s="119"/>
      <c r="N7" s="144"/>
      <c r="O7" s="144"/>
      <c r="P7" s="145">
        <v>1</v>
      </c>
      <c r="Q7" s="160">
        <f>W5*(1/I7-1)</f>
        <v>0</v>
      </c>
      <c r="R7" s="154"/>
      <c r="S7" s="161"/>
      <c r="T7" s="155" t="str">
        <f>IFERROR(N7*20/M7+O7*20/P7,"")</f>
        <v/>
      </c>
      <c r="U7" s="154" t="str">
        <f>IFERROR(T7*0.25/0.75,"")</f>
        <v/>
      </c>
      <c r="V7" s="156">
        <f t="shared" ref="V7:V8" si="5">SUM(Q7:U7)</f>
        <v>0</v>
      </c>
      <c r="W7" s="154">
        <f>W5+V7</f>
        <v>4.9390827429213</v>
      </c>
      <c r="X7" s="72"/>
      <c r="Y7" s="75"/>
      <c r="Z7" s="72"/>
      <c r="AA7" s="72"/>
      <c r="AB7" s="72"/>
      <c r="AC7" s="30">
        <f t="shared" si="4"/>
        <v>0</v>
      </c>
      <c r="AD7" s="91">
        <v>1</v>
      </c>
      <c r="AE7" s="72">
        <f t="shared" ref="AE7:AE28" si="6">(V7+Z7+AA7+AB7+AC7)*AD7</f>
        <v>0</v>
      </c>
      <c r="AF7" s="72">
        <f t="shared" ref="AF7:AF78" si="7">AE7*1.13</f>
        <v>0</v>
      </c>
    </row>
    <row r="8" ht="12.75" spans="1:32">
      <c r="A8" s="26"/>
      <c r="B8" s="27" t="s">
        <v>80</v>
      </c>
      <c r="C8" s="28"/>
      <c r="D8" s="21"/>
      <c r="F8" s="117"/>
      <c r="G8" s="30"/>
      <c r="H8" s="30"/>
      <c r="I8" s="25">
        <v>0.99</v>
      </c>
      <c r="J8" s="30"/>
      <c r="K8" s="136"/>
      <c r="L8" s="56"/>
      <c r="M8" s="119">
        <v>1200</v>
      </c>
      <c r="N8" s="146">
        <v>25</v>
      </c>
      <c r="O8" s="144"/>
      <c r="P8" s="145">
        <v>1</v>
      </c>
      <c r="Q8" s="160">
        <f>W7*(1/I8-1)</f>
        <v>0.049889724675973</v>
      </c>
      <c r="R8" s="154"/>
      <c r="S8" s="161">
        <v>0.6</v>
      </c>
      <c r="T8" s="155">
        <f>IFERROR(N8*20/M8+O8*20/P8,"")</f>
        <v>0.416666666666667</v>
      </c>
      <c r="U8" s="154">
        <f>IFERROR(T8*0.25/0.75,"")</f>
        <v>0.138888888888889</v>
      </c>
      <c r="V8" s="156">
        <f t="shared" si="5"/>
        <v>1.20544528023153</v>
      </c>
      <c r="W8" s="154">
        <f>W7+V8</f>
        <v>6.14452802315282</v>
      </c>
      <c r="X8" s="72"/>
      <c r="Y8" s="75"/>
      <c r="Z8" s="72"/>
      <c r="AA8" s="72"/>
      <c r="AB8" s="72"/>
      <c r="AC8" s="30">
        <f t="shared" si="4"/>
        <v>0.108490075220838</v>
      </c>
      <c r="AD8" s="91">
        <v>1</v>
      </c>
      <c r="AE8" s="72">
        <f t="shared" si="6"/>
        <v>1.31393535545237</v>
      </c>
      <c r="AF8" s="72">
        <f t="shared" si="7"/>
        <v>1.48474695166117</v>
      </c>
    </row>
    <row r="9" ht="12.75" spans="1:32">
      <c r="A9" s="26">
        <v>6.1</v>
      </c>
      <c r="B9" s="27" t="s">
        <v>81</v>
      </c>
      <c r="C9" s="28">
        <v>60000</v>
      </c>
      <c r="D9" s="21"/>
      <c r="E9" s="116"/>
      <c r="F9" s="117"/>
      <c r="G9" s="30"/>
      <c r="H9" s="30"/>
      <c r="I9" s="25"/>
      <c r="J9" s="30"/>
      <c r="K9" s="54"/>
      <c r="L9" s="56"/>
      <c r="M9" s="56"/>
      <c r="N9" s="144"/>
      <c r="O9" s="144"/>
      <c r="P9" s="144"/>
      <c r="Q9" s="117"/>
      <c r="R9" s="30"/>
      <c r="S9" s="30"/>
      <c r="T9" s="69"/>
      <c r="U9" s="70"/>
      <c r="V9" s="162"/>
      <c r="W9" s="163"/>
      <c r="X9" s="164">
        <f>0.314/1.13</f>
        <v>0.27787610619469</v>
      </c>
      <c r="Y9" s="75">
        <v>0</v>
      </c>
      <c r="Z9" s="72">
        <f t="shared" ref="Z9:Z28" si="8">X9/(1-Y9)</f>
        <v>0.27787610619469</v>
      </c>
      <c r="AA9" s="72"/>
      <c r="AB9" s="72"/>
      <c r="AC9" s="30">
        <f t="shared" si="4"/>
        <v>0.0250088495575221</v>
      </c>
      <c r="AD9" s="91">
        <v>1</v>
      </c>
      <c r="AE9" s="72">
        <f t="shared" si="6"/>
        <v>0.302884955752212</v>
      </c>
      <c r="AF9" s="72">
        <f t="shared" si="7"/>
        <v>0.34226</v>
      </c>
    </row>
    <row r="10" ht="12.75" spans="1:32">
      <c r="A10" s="26">
        <v>6.2</v>
      </c>
      <c r="B10" s="27" t="s">
        <v>82</v>
      </c>
      <c r="C10" s="28"/>
      <c r="D10" s="21"/>
      <c r="E10" s="116"/>
      <c r="F10" s="117"/>
      <c r="G10" s="30"/>
      <c r="H10" s="30"/>
      <c r="I10" s="25"/>
      <c r="J10" s="30"/>
      <c r="K10" s="54"/>
      <c r="L10" s="56"/>
      <c r="M10" s="56"/>
      <c r="N10" s="144"/>
      <c r="O10" s="144"/>
      <c r="P10" s="144"/>
      <c r="Q10" s="117"/>
      <c r="R10" s="30"/>
      <c r="S10" s="30"/>
      <c r="T10" s="69"/>
      <c r="U10" s="70"/>
      <c r="V10" s="162"/>
      <c r="W10" s="163"/>
      <c r="X10" s="165"/>
      <c r="Y10" s="75">
        <v>0.03</v>
      </c>
      <c r="Z10" s="72">
        <f t="shared" si="8"/>
        <v>0</v>
      </c>
      <c r="AA10" s="72"/>
      <c r="AB10" s="72"/>
      <c r="AC10" s="30">
        <f t="shared" si="4"/>
        <v>0</v>
      </c>
      <c r="AD10" s="91">
        <v>1</v>
      </c>
      <c r="AE10" s="72">
        <f t="shared" si="6"/>
        <v>0</v>
      </c>
      <c r="AF10" s="72">
        <f t="shared" si="7"/>
        <v>0</v>
      </c>
    </row>
    <row r="11" ht="12.75" spans="1:32">
      <c r="A11" s="26">
        <v>1.4</v>
      </c>
      <c r="B11" s="27" t="s">
        <v>83</v>
      </c>
      <c r="C11" s="28"/>
      <c r="D11" s="21"/>
      <c r="E11" s="116"/>
      <c r="F11" s="117"/>
      <c r="G11" s="30"/>
      <c r="H11" s="30"/>
      <c r="I11" s="25"/>
      <c r="J11" s="30"/>
      <c r="K11" s="54"/>
      <c r="L11" s="56"/>
      <c r="M11" s="56"/>
      <c r="N11" s="144"/>
      <c r="O11" s="144"/>
      <c r="P11" s="144"/>
      <c r="Q11" s="117"/>
      <c r="R11" s="30"/>
      <c r="S11" s="30"/>
      <c r="T11" s="69"/>
      <c r="U11" s="70"/>
      <c r="V11" s="162"/>
      <c r="W11" s="163" t="s">
        <v>84</v>
      </c>
      <c r="X11" s="72">
        <v>0.123</v>
      </c>
      <c r="Y11" s="75">
        <v>0.03</v>
      </c>
      <c r="Z11" s="72">
        <f t="shared" si="8"/>
        <v>0.12680412371134</v>
      </c>
      <c r="AA11" s="72"/>
      <c r="AB11" s="72"/>
      <c r="AC11" s="30">
        <f t="shared" si="4"/>
        <v>0.0114123711340206</v>
      </c>
      <c r="AD11" s="91">
        <v>4</v>
      </c>
      <c r="AE11" s="72">
        <f t="shared" si="6"/>
        <v>0.552865979381443</v>
      </c>
      <c r="AF11" s="72">
        <f t="shared" si="7"/>
        <v>0.624738556701031</v>
      </c>
    </row>
    <row r="12" ht="12.75" spans="1:32">
      <c r="A12" s="26">
        <v>1.5</v>
      </c>
      <c r="B12" s="27" t="s">
        <v>85</v>
      </c>
      <c r="C12" s="28"/>
      <c r="D12" s="21"/>
      <c r="E12" s="116"/>
      <c r="F12" s="117"/>
      <c r="G12" s="30"/>
      <c r="H12" s="30"/>
      <c r="I12" s="25"/>
      <c r="J12" s="30"/>
      <c r="K12" s="54"/>
      <c r="L12" s="56"/>
      <c r="M12" s="56"/>
      <c r="N12" s="144"/>
      <c r="O12" s="144"/>
      <c r="P12" s="144"/>
      <c r="Q12" s="117"/>
      <c r="R12" s="30"/>
      <c r="S12" s="30"/>
      <c r="T12" s="69"/>
      <c r="U12" s="70"/>
      <c r="V12" s="162"/>
      <c r="W12" s="163"/>
      <c r="X12" s="72">
        <f>1.015/1.13</f>
        <v>0.898230088495575</v>
      </c>
      <c r="Y12" s="75">
        <v>0.03</v>
      </c>
      <c r="Z12" s="72">
        <f t="shared" si="8"/>
        <v>0.926010400510902</v>
      </c>
      <c r="AA12" s="72"/>
      <c r="AB12" s="72"/>
      <c r="AC12" s="30">
        <f t="shared" si="4"/>
        <v>0.0833409360459812</v>
      </c>
      <c r="AD12" s="91">
        <v>1</v>
      </c>
      <c r="AE12" s="72">
        <f t="shared" si="6"/>
        <v>1.00935133655688</v>
      </c>
      <c r="AF12" s="72">
        <f t="shared" si="7"/>
        <v>1.14056701030928</v>
      </c>
    </row>
    <row r="13" ht="12.75" spans="1:32">
      <c r="A13" s="26">
        <v>1.6</v>
      </c>
      <c r="B13" s="27" t="s">
        <v>86</v>
      </c>
      <c r="C13" s="28"/>
      <c r="D13" s="21"/>
      <c r="E13" s="116"/>
      <c r="F13" s="117"/>
      <c r="G13" s="30"/>
      <c r="H13" s="30"/>
      <c r="I13" s="25"/>
      <c r="J13" s="30"/>
      <c r="K13" s="54"/>
      <c r="L13" s="56"/>
      <c r="M13" s="56"/>
      <c r="N13" s="144"/>
      <c r="O13" s="144"/>
      <c r="P13" s="144"/>
      <c r="Q13" s="117"/>
      <c r="R13" s="30"/>
      <c r="S13" s="30"/>
      <c r="T13" s="69"/>
      <c r="U13" s="70"/>
      <c r="V13" s="162"/>
      <c r="W13" s="163"/>
      <c r="X13" s="72">
        <v>0.1062</v>
      </c>
      <c r="Y13" s="75">
        <v>0.03</v>
      </c>
      <c r="Z13" s="72">
        <f t="shared" si="8"/>
        <v>0.109484536082474</v>
      </c>
      <c r="AA13" s="72"/>
      <c r="AB13" s="72"/>
      <c r="AC13" s="30">
        <f t="shared" si="4"/>
        <v>0.00985360824742268</v>
      </c>
      <c r="AD13" s="91">
        <v>1</v>
      </c>
      <c r="AE13" s="72">
        <f t="shared" si="6"/>
        <v>0.119338144329897</v>
      </c>
      <c r="AF13" s="72">
        <f t="shared" si="7"/>
        <v>0.134852103092784</v>
      </c>
    </row>
    <row r="14" ht="12.75" spans="1:32">
      <c r="A14" s="26">
        <v>1.7</v>
      </c>
      <c r="B14" s="27" t="s">
        <v>87</v>
      </c>
      <c r="C14" s="28"/>
      <c r="D14" s="21"/>
      <c r="E14" s="116"/>
      <c r="F14" s="117"/>
      <c r="G14" s="30"/>
      <c r="H14" s="30"/>
      <c r="I14" s="25"/>
      <c r="J14" s="30"/>
      <c r="K14" s="54"/>
      <c r="L14" s="56"/>
      <c r="M14" s="56"/>
      <c r="N14" s="144"/>
      <c r="O14" s="144"/>
      <c r="P14" s="144"/>
      <c r="Q14" s="117"/>
      <c r="R14" s="30"/>
      <c r="S14" s="30"/>
      <c r="T14" s="69"/>
      <c r="U14" s="70"/>
      <c r="V14" s="162"/>
      <c r="W14" s="163"/>
      <c r="X14" s="72">
        <v>0.0195</v>
      </c>
      <c r="Y14" s="75">
        <v>0.03</v>
      </c>
      <c r="Z14" s="72">
        <f t="shared" si="8"/>
        <v>0.0201030927835052</v>
      </c>
      <c r="AA14" s="72"/>
      <c r="AB14" s="72"/>
      <c r="AC14" s="30">
        <f t="shared" si="4"/>
        <v>0.00180927835051546</v>
      </c>
      <c r="AD14" s="91">
        <v>1</v>
      </c>
      <c r="AE14" s="72">
        <f t="shared" si="6"/>
        <v>0.0219123711340206</v>
      </c>
      <c r="AF14" s="72">
        <f t="shared" si="7"/>
        <v>0.0247609793814433</v>
      </c>
    </row>
    <row r="15" ht="12.75" spans="1:32">
      <c r="A15" s="26">
        <v>1.8</v>
      </c>
      <c r="B15" s="27" t="s">
        <v>88</v>
      </c>
      <c r="C15" s="28"/>
      <c r="D15" s="21"/>
      <c r="E15" s="116"/>
      <c r="F15" s="117"/>
      <c r="G15" s="30"/>
      <c r="H15" s="30"/>
      <c r="I15" s="25"/>
      <c r="J15" s="30"/>
      <c r="K15" s="54"/>
      <c r="L15" s="56"/>
      <c r="M15" s="56"/>
      <c r="N15" s="144"/>
      <c r="O15" s="144"/>
      <c r="P15" s="144"/>
      <c r="Q15" s="117"/>
      <c r="R15" s="30"/>
      <c r="S15" s="30"/>
      <c r="T15" s="69"/>
      <c r="U15" s="70"/>
      <c r="V15" s="162"/>
      <c r="W15" s="163"/>
      <c r="X15" s="72">
        <v>0.0531</v>
      </c>
      <c r="Y15" s="75">
        <v>0.03</v>
      </c>
      <c r="Z15" s="72">
        <f t="shared" si="8"/>
        <v>0.0547422680412371</v>
      </c>
      <c r="AA15" s="72"/>
      <c r="AB15" s="72"/>
      <c r="AC15" s="30">
        <f t="shared" si="4"/>
        <v>0.00492680412371134</v>
      </c>
      <c r="AD15" s="91">
        <v>1</v>
      </c>
      <c r="AE15" s="72">
        <f t="shared" si="6"/>
        <v>0.0596690721649485</v>
      </c>
      <c r="AF15" s="72">
        <f t="shared" si="7"/>
        <v>0.0674260515463918</v>
      </c>
    </row>
    <row r="16" ht="12.75" spans="1:32">
      <c r="A16" s="26">
        <v>1.9</v>
      </c>
      <c r="B16" s="27" t="s">
        <v>89</v>
      </c>
      <c r="C16" s="28"/>
      <c r="D16" s="21"/>
      <c r="E16" s="116"/>
      <c r="F16" s="117"/>
      <c r="G16" s="30"/>
      <c r="H16" s="30"/>
      <c r="I16" s="25"/>
      <c r="J16" s="30"/>
      <c r="K16" s="54"/>
      <c r="L16" s="56"/>
      <c r="M16" s="56"/>
      <c r="N16" s="144"/>
      <c r="O16" s="144"/>
      <c r="P16" s="144"/>
      <c r="Q16" s="117"/>
      <c r="R16" s="30"/>
      <c r="S16" s="30"/>
      <c r="T16" s="69"/>
      <c r="U16" s="70"/>
      <c r="V16" s="162"/>
      <c r="W16" s="163"/>
      <c r="X16" s="72">
        <v>0.0531</v>
      </c>
      <c r="Y16" s="75">
        <v>0.03</v>
      </c>
      <c r="Z16" s="72">
        <f t="shared" si="8"/>
        <v>0.0547422680412371</v>
      </c>
      <c r="AA16" s="72"/>
      <c r="AB16" s="72"/>
      <c r="AC16" s="30">
        <f t="shared" si="4"/>
        <v>0.00492680412371134</v>
      </c>
      <c r="AD16" s="91">
        <v>2</v>
      </c>
      <c r="AE16" s="72">
        <f t="shared" si="6"/>
        <v>0.119338144329897</v>
      </c>
      <c r="AF16" s="72">
        <f t="shared" si="7"/>
        <v>0.134852103092784</v>
      </c>
    </row>
    <row r="17" ht="12.75" spans="1:32">
      <c r="A17" s="124" t="s">
        <v>90</v>
      </c>
      <c r="B17" s="27" t="s">
        <v>91</v>
      </c>
      <c r="C17" s="28"/>
      <c r="D17" s="21"/>
      <c r="E17" s="116"/>
      <c r="F17" s="117"/>
      <c r="G17" s="30"/>
      <c r="H17" s="30"/>
      <c r="I17" s="25"/>
      <c r="J17" s="30"/>
      <c r="K17" s="54"/>
      <c r="L17" s="56"/>
      <c r="M17" s="56"/>
      <c r="N17" s="144"/>
      <c r="O17" s="144"/>
      <c r="P17" s="144"/>
      <c r="Q17" s="117"/>
      <c r="R17" s="30"/>
      <c r="S17" s="30"/>
      <c r="T17" s="69"/>
      <c r="U17" s="70"/>
      <c r="V17" s="162"/>
      <c r="W17" s="163"/>
      <c r="X17" s="72">
        <v>0.0088</v>
      </c>
      <c r="Y17" s="75">
        <v>0.03</v>
      </c>
      <c r="Z17" s="72">
        <f t="shared" si="8"/>
        <v>0.00907216494845361</v>
      </c>
      <c r="AA17" s="72"/>
      <c r="AB17" s="72"/>
      <c r="AC17" s="30">
        <f t="shared" si="4"/>
        <v>0.000816494845360825</v>
      </c>
      <c r="AD17" s="91">
        <v>1</v>
      </c>
      <c r="AE17" s="72">
        <f t="shared" si="6"/>
        <v>0.00988865979381444</v>
      </c>
      <c r="AF17" s="72">
        <f t="shared" si="7"/>
        <v>0.0111741855670103</v>
      </c>
    </row>
    <row r="18" ht="21" customHeight="1" spans="1:32">
      <c r="A18" s="26">
        <v>1.11</v>
      </c>
      <c r="B18" s="125" t="s">
        <v>92</v>
      </c>
      <c r="C18" s="28"/>
      <c r="D18" s="21"/>
      <c r="E18" s="116"/>
      <c r="F18" s="117"/>
      <c r="G18" s="30"/>
      <c r="H18" s="30"/>
      <c r="I18" s="25"/>
      <c r="J18" s="30"/>
      <c r="K18" s="54"/>
      <c r="L18" s="56"/>
      <c r="M18" s="56"/>
      <c r="N18" s="144"/>
      <c r="O18" s="144"/>
      <c r="P18" s="144"/>
      <c r="Q18" s="117"/>
      <c r="R18" s="30"/>
      <c r="S18" s="30"/>
      <c r="T18" s="69"/>
      <c r="U18" s="70"/>
      <c r="V18" s="162"/>
      <c r="W18" s="163"/>
      <c r="X18" s="72">
        <v>0.0354</v>
      </c>
      <c r="Y18" s="75">
        <v>0.03</v>
      </c>
      <c r="Z18" s="72">
        <f t="shared" si="8"/>
        <v>0.0364948453608247</v>
      </c>
      <c r="AA18" s="72"/>
      <c r="AB18" s="72"/>
      <c r="AC18" s="30">
        <f t="shared" si="4"/>
        <v>0.00328453608247423</v>
      </c>
      <c r="AD18" s="91">
        <v>2</v>
      </c>
      <c r="AE18" s="72">
        <f t="shared" si="6"/>
        <v>0.0795587628865979</v>
      </c>
      <c r="AF18" s="72">
        <f t="shared" si="7"/>
        <v>0.0899014020618557</v>
      </c>
    </row>
    <row r="19" ht="12.75" spans="1:32">
      <c r="A19" s="26">
        <v>1.11</v>
      </c>
      <c r="B19" s="27" t="s">
        <v>93</v>
      </c>
      <c r="C19" s="28"/>
      <c r="D19" s="21"/>
      <c r="E19" s="116"/>
      <c r="F19" s="117"/>
      <c r="G19" s="30"/>
      <c r="H19" s="30"/>
      <c r="I19" s="25"/>
      <c r="J19" s="30"/>
      <c r="K19" s="54"/>
      <c r="L19" s="56"/>
      <c r="M19" s="56"/>
      <c r="N19" s="144"/>
      <c r="O19" s="144"/>
      <c r="P19" s="144"/>
      <c r="Q19" s="117"/>
      <c r="R19" s="30"/>
      <c r="S19" s="30"/>
      <c r="T19" s="69"/>
      <c r="U19" s="70"/>
      <c r="V19" s="162"/>
      <c r="W19" s="163"/>
      <c r="X19" s="72">
        <v>0.0159</v>
      </c>
      <c r="Y19" s="75">
        <v>0.03</v>
      </c>
      <c r="Z19" s="72">
        <f t="shared" si="8"/>
        <v>0.0163917525773196</v>
      </c>
      <c r="AA19" s="72"/>
      <c r="AB19" s="72"/>
      <c r="AC19" s="30">
        <f t="shared" si="4"/>
        <v>0.00147525773195876</v>
      </c>
      <c r="AD19" s="91">
        <v>1</v>
      </c>
      <c r="AE19" s="72">
        <f t="shared" si="6"/>
        <v>0.0178670103092784</v>
      </c>
      <c r="AF19" s="72">
        <f t="shared" si="7"/>
        <v>0.0201897216494845</v>
      </c>
    </row>
    <row r="20" ht="12.75" spans="1:32">
      <c r="A20" s="26">
        <v>1.12</v>
      </c>
      <c r="B20" s="27" t="s">
        <v>94</v>
      </c>
      <c r="C20" s="28"/>
      <c r="D20" s="21"/>
      <c r="E20" s="116"/>
      <c r="F20" s="117"/>
      <c r="G20" s="30"/>
      <c r="H20" s="30"/>
      <c r="I20" s="25"/>
      <c r="J20" s="30"/>
      <c r="K20" s="54"/>
      <c r="L20" s="56"/>
      <c r="M20" s="56"/>
      <c r="N20" s="144"/>
      <c r="O20" s="144"/>
      <c r="P20" s="144"/>
      <c r="Q20" s="117"/>
      <c r="R20" s="30"/>
      <c r="S20" s="30"/>
      <c r="T20" s="69"/>
      <c r="U20" s="70"/>
      <c r="V20" s="162"/>
      <c r="W20" s="163"/>
      <c r="X20" s="72">
        <v>0.0177</v>
      </c>
      <c r="Y20" s="75">
        <v>0.03</v>
      </c>
      <c r="Z20" s="72">
        <f t="shared" si="8"/>
        <v>0.0182474226804124</v>
      </c>
      <c r="AA20" s="72"/>
      <c r="AB20" s="72"/>
      <c r="AC20" s="30">
        <f t="shared" si="4"/>
        <v>0.00164226804123711</v>
      </c>
      <c r="AD20" s="91">
        <v>1</v>
      </c>
      <c r="AE20" s="72">
        <f t="shared" si="6"/>
        <v>0.0198896907216495</v>
      </c>
      <c r="AF20" s="72">
        <f t="shared" si="7"/>
        <v>0.0224753505154639</v>
      </c>
    </row>
    <row r="21" ht="12.75" spans="1:32">
      <c r="A21" s="124" t="s">
        <v>90</v>
      </c>
      <c r="B21" s="27" t="s">
        <v>95</v>
      </c>
      <c r="C21" s="28"/>
      <c r="D21" s="21"/>
      <c r="E21" s="116"/>
      <c r="F21" s="117"/>
      <c r="G21" s="30"/>
      <c r="H21" s="30"/>
      <c r="I21" s="25"/>
      <c r="J21" s="30"/>
      <c r="K21" s="54"/>
      <c r="L21" s="56"/>
      <c r="M21" s="56"/>
      <c r="N21" s="144"/>
      <c r="O21" s="144"/>
      <c r="P21" s="144"/>
      <c r="Q21" s="117"/>
      <c r="R21" s="30"/>
      <c r="S21" s="30"/>
      <c r="T21" s="69"/>
      <c r="U21" s="70"/>
      <c r="V21" s="162"/>
      <c r="W21" s="163"/>
      <c r="X21" s="72">
        <v>0.0221</v>
      </c>
      <c r="Y21" s="75">
        <v>0.03</v>
      </c>
      <c r="Z21" s="72">
        <f t="shared" si="8"/>
        <v>0.0227835051546392</v>
      </c>
      <c r="AA21" s="72"/>
      <c r="AB21" s="72"/>
      <c r="AC21" s="30">
        <f t="shared" si="4"/>
        <v>0.00205051546391753</v>
      </c>
      <c r="AD21" s="91">
        <v>1</v>
      </c>
      <c r="AE21" s="72">
        <f t="shared" si="6"/>
        <v>0.0248340206185567</v>
      </c>
      <c r="AF21" s="72">
        <f t="shared" si="7"/>
        <v>0.0280624432989691</v>
      </c>
    </row>
    <row r="22" ht="12.75" spans="1:32">
      <c r="A22" s="26">
        <v>1.11</v>
      </c>
      <c r="B22" s="27" t="s">
        <v>96</v>
      </c>
      <c r="C22" s="28"/>
      <c r="D22" s="21"/>
      <c r="E22" s="116"/>
      <c r="F22" s="117"/>
      <c r="G22" s="30"/>
      <c r="H22" s="30"/>
      <c r="I22" s="25"/>
      <c r="J22" s="30"/>
      <c r="K22" s="54"/>
      <c r="L22" s="56"/>
      <c r="M22" s="56"/>
      <c r="N22" s="144"/>
      <c r="O22" s="144"/>
      <c r="P22" s="144"/>
      <c r="Q22" s="117"/>
      <c r="R22" s="30"/>
      <c r="S22" s="30"/>
      <c r="T22" s="69"/>
      <c r="U22" s="70"/>
      <c r="V22" s="162"/>
      <c r="W22" s="163"/>
      <c r="X22" s="72">
        <v>0.0177</v>
      </c>
      <c r="Y22" s="75">
        <v>0.03</v>
      </c>
      <c r="Z22" s="72">
        <f t="shared" si="8"/>
        <v>0.0182474226804124</v>
      </c>
      <c r="AA22" s="72"/>
      <c r="AB22" s="72"/>
      <c r="AC22" s="30">
        <f t="shared" si="4"/>
        <v>0.00164226804123711</v>
      </c>
      <c r="AD22" s="91">
        <v>1</v>
      </c>
      <c r="AE22" s="72">
        <f t="shared" si="6"/>
        <v>0.0198896907216495</v>
      </c>
      <c r="AF22" s="72">
        <f t="shared" si="7"/>
        <v>0.0224753505154639</v>
      </c>
    </row>
    <row r="23" ht="12.75" spans="1:32">
      <c r="A23" s="26">
        <v>1.13</v>
      </c>
      <c r="B23" s="27" t="s">
        <v>97</v>
      </c>
      <c r="C23" s="28"/>
      <c r="D23" s="21"/>
      <c r="E23" s="116"/>
      <c r="F23" s="117"/>
      <c r="G23" s="30"/>
      <c r="H23" s="30"/>
      <c r="I23" s="25"/>
      <c r="J23" s="30"/>
      <c r="K23" s="54"/>
      <c r="L23" s="56"/>
      <c r="M23" s="56"/>
      <c r="N23" s="144"/>
      <c r="O23" s="144"/>
      <c r="P23" s="144"/>
      <c r="Q23" s="117"/>
      <c r="R23" s="30"/>
      <c r="S23" s="30"/>
      <c r="T23" s="69"/>
      <c r="U23" s="70"/>
      <c r="V23" s="162"/>
      <c r="W23" s="163"/>
      <c r="X23" s="72">
        <f>0.03/1.13</f>
        <v>0.0265486725663717</v>
      </c>
      <c r="Y23" s="75">
        <v>0.03</v>
      </c>
      <c r="Z23" s="72">
        <f t="shared" si="8"/>
        <v>0.0273697655323419</v>
      </c>
      <c r="AA23" s="72"/>
      <c r="AB23" s="72"/>
      <c r="AC23" s="30">
        <f t="shared" si="4"/>
        <v>0.00246327889791077</v>
      </c>
      <c r="AD23" s="91">
        <v>1</v>
      </c>
      <c r="AE23" s="72">
        <f t="shared" si="6"/>
        <v>0.0298330444302527</v>
      </c>
      <c r="AF23" s="72">
        <f t="shared" si="7"/>
        <v>0.0337113402061856</v>
      </c>
    </row>
    <row r="24" ht="12.75" spans="1:32">
      <c r="A24" s="26">
        <v>1.13</v>
      </c>
      <c r="B24" s="27" t="s">
        <v>98</v>
      </c>
      <c r="C24" s="28"/>
      <c r="D24" s="21"/>
      <c r="E24" s="116"/>
      <c r="F24" s="117"/>
      <c r="G24" s="30"/>
      <c r="H24" s="30"/>
      <c r="I24" s="25"/>
      <c r="J24" s="30"/>
      <c r="K24" s="54"/>
      <c r="L24" s="56"/>
      <c r="M24" s="56"/>
      <c r="N24" s="144"/>
      <c r="O24" s="144"/>
      <c r="P24" s="144"/>
      <c r="Q24" s="117"/>
      <c r="R24" s="30"/>
      <c r="S24" s="30"/>
      <c r="T24" s="69"/>
      <c r="U24" s="70"/>
      <c r="V24" s="162"/>
      <c r="W24" s="163"/>
      <c r="X24" s="72">
        <v>0.0177</v>
      </c>
      <c r="Y24" s="75">
        <v>0.03</v>
      </c>
      <c r="Z24" s="72">
        <f t="shared" si="8"/>
        <v>0.0182474226804124</v>
      </c>
      <c r="AA24" s="72"/>
      <c r="AB24" s="72"/>
      <c r="AC24" s="30">
        <f t="shared" si="4"/>
        <v>0.00164226804123711</v>
      </c>
      <c r="AD24" s="91">
        <v>1</v>
      </c>
      <c r="AE24" s="72">
        <f t="shared" si="6"/>
        <v>0.0198896907216495</v>
      </c>
      <c r="AF24" s="72">
        <f t="shared" si="7"/>
        <v>0.0224753505154639</v>
      </c>
    </row>
    <row r="25" ht="12.75" spans="1:32">
      <c r="A25" s="124" t="s">
        <v>99</v>
      </c>
      <c r="B25" s="27" t="s">
        <v>100</v>
      </c>
      <c r="C25" s="28"/>
      <c r="D25" s="21"/>
      <c r="E25" s="116"/>
      <c r="F25" s="117"/>
      <c r="G25" s="30"/>
      <c r="H25" s="30"/>
      <c r="I25" s="25"/>
      <c r="J25" s="30"/>
      <c r="K25" s="54"/>
      <c r="L25" s="56"/>
      <c r="M25" s="56"/>
      <c r="N25" s="144"/>
      <c r="O25" s="144"/>
      <c r="P25" s="144"/>
      <c r="Q25" s="117"/>
      <c r="R25" s="30"/>
      <c r="S25" s="30"/>
      <c r="T25" s="69"/>
      <c r="U25" s="70"/>
      <c r="V25" s="162"/>
      <c r="W25" s="163"/>
      <c r="X25" s="166">
        <v>0.02</v>
      </c>
      <c r="Y25" s="75">
        <v>0.03</v>
      </c>
      <c r="Z25" s="72">
        <f t="shared" si="8"/>
        <v>0.0206185567010309</v>
      </c>
      <c r="AA25" s="72"/>
      <c r="AB25" s="72"/>
      <c r="AC25" s="30">
        <f t="shared" si="4"/>
        <v>0.00185567010309278</v>
      </c>
      <c r="AD25" s="91">
        <v>1</v>
      </c>
      <c r="AE25" s="72">
        <f t="shared" si="6"/>
        <v>0.0224742268041237</v>
      </c>
      <c r="AF25" s="72">
        <f t="shared" si="7"/>
        <v>0.0253958762886598</v>
      </c>
    </row>
    <row r="26" ht="12.75" spans="1:32">
      <c r="A26" s="124" t="s">
        <v>99</v>
      </c>
      <c r="B26" s="27" t="s">
        <v>101</v>
      </c>
      <c r="C26" s="28"/>
      <c r="D26" s="21"/>
      <c r="E26" s="116"/>
      <c r="F26" s="117"/>
      <c r="G26" s="30"/>
      <c r="H26" s="30"/>
      <c r="I26" s="25"/>
      <c r="J26" s="30"/>
      <c r="K26" s="54"/>
      <c r="L26" s="56"/>
      <c r="M26" s="56"/>
      <c r="N26" s="144"/>
      <c r="O26" s="144"/>
      <c r="P26" s="144"/>
      <c r="Q26" s="117"/>
      <c r="R26" s="30"/>
      <c r="S26" s="30"/>
      <c r="T26" s="69"/>
      <c r="U26" s="70"/>
      <c r="V26" s="162"/>
      <c r="W26" s="163"/>
      <c r="X26" s="166"/>
      <c r="Y26" s="75">
        <v>0.03</v>
      </c>
      <c r="Z26" s="72">
        <f t="shared" si="8"/>
        <v>0</v>
      </c>
      <c r="AA26" s="72"/>
      <c r="AB26" s="72"/>
      <c r="AC26" s="30">
        <f t="shared" si="4"/>
        <v>0</v>
      </c>
      <c r="AD26" s="91">
        <v>1</v>
      </c>
      <c r="AE26" s="72">
        <f t="shared" si="6"/>
        <v>0</v>
      </c>
      <c r="AF26" s="72">
        <f t="shared" si="7"/>
        <v>0</v>
      </c>
    </row>
    <row r="27" ht="12.75" spans="1:32">
      <c r="A27" s="124" t="s">
        <v>99</v>
      </c>
      <c r="B27" s="27" t="s">
        <v>102</v>
      </c>
      <c r="C27" s="28"/>
      <c r="D27" s="21"/>
      <c r="E27" s="116"/>
      <c r="F27" s="117"/>
      <c r="G27" s="30"/>
      <c r="H27" s="30"/>
      <c r="I27" s="25"/>
      <c r="J27" s="30"/>
      <c r="K27" s="54"/>
      <c r="L27" s="56"/>
      <c r="M27" s="56"/>
      <c r="N27" s="144"/>
      <c r="O27" s="144"/>
      <c r="P27" s="144"/>
      <c r="Q27" s="117"/>
      <c r="R27" s="30"/>
      <c r="S27" s="30"/>
      <c r="T27" s="69"/>
      <c r="U27" s="70"/>
      <c r="V27" s="162"/>
      <c r="W27" s="163"/>
      <c r="X27" s="166">
        <v>1.257</v>
      </c>
      <c r="Y27" s="75">
        <v>0.03</v>
      </c>
      <c r="Z27" s="72">
        <f t="shared" si="8"/>
        <v>1.29587628865979</v>
      </c>
      <c r="AA27" s="72"/>
      <c r="AB27" s="72"/>
      <c r="AC27" s="30">
        <f t="shared" si="4"/>
        <v>0.116628865979381</v>
      </c>
      <c r="AD27" s="91">
        <v>1</v>
      </c>
      <c r="AE27" s="72">
        <f t="shared" si="6"/>
        <v>1.41250515463918</v>
      </c>
      <c r="AF27" s="72">
        <f t="shared" si="7"/>
        <v>1.59613082474227</v>
      </c>
    </row>
    <row r="28" ht="12.75" spans="1:32">
      <c r="A28" s="26">
        <v>1.15</v>
      </c>
      <c r="B28" s="27" t="s">
        <v>103</v>
      </c>
      <c r="C28" s="28"/>
      <c r="D28" s="21"/>
      <c r="E28" s="116"/>
      <c r="F28" s="117"/>
      <c r="G28" s="30"/>
      <c r="H28" s="30"/>
      <c r="I28" s="25"/>
      <c r="J28" s="30"/>
      <c r="K28" s="54"/>
      <c r="L28" s="56"/>
      <c r="M28" s="56"/>
      <c r="N28" s="144"/>
      <c r="O28" s="144"/>
      <c r="P28" s="144"/>
      <c r="Q28" s="117"/>
      <c r="R28" s="30"/>
      <c r="S28" s="30"/>
      <c r="T28" s="69"/>
      <c r="U28" s="70"/>
      <c r="V28" s="162"/>
      <c r="W28" s="163"/>
      <c r="X28" s="72">
        <v>0.03</v>
      </c>
      <c r="Y28" s="75">
        <v>0.03</v>
      </c>
      <c r="Z28" s="72">
        <f t="shared" si="8"/>
        <v>0.0309278350515464</v>
      </c>
      <c r="AA28" s="72"/>
      <c r="AB28" s="72"/>
      <c r="AC28" s="30">
        <f t="shared" si="4"/>
        <v>0.00278350515463918</v>
      </c>
      <c r="AD28" s="91">
        <v>2</v>
      </c>
      <c r="AE28" s="72">
        <f t="shared" si="6"/>
        <v>0.0674226804123711</v>
      </c>
      <c r="AF28" s="72">
        <f t="shared" si="7"/>
        <v>0.0761876288659794</v>
      </c>
    </row>
    <row r="29" ht="12.75" spans="1:33">
      <c r="A29" s="110">
        <v>2</v>
      </c>
      <c r="B29" s="111" t="s">
        <v>104</v>
      </c>
      <c r="C29" s="111"/>
      <c r="D29" s="112"/>
      <c r="E29" s="113"/>
      <c r="F29" s="71"/>
      <c r="G29" s="71"/>
      <c r="H29" s="71"/>
      <c r="I29" s="132"/>
      <c r="J29" s="71"/>
      <c r="K29" s="133"/>
      <c r="L29" s="134"/>
      <c r="M29" s="134"/>
      <c r="N29" s="133"/>
      <c r="O29" s="133"/>
      <c r="P29" s="133"/>
      <c r="Q29" s="134"/>
      <c r="R29" s="71"/>
      <c r="S29" s="71"/>
      <c r="T29" s="151"/>
      <c r="U29" s="152"/>
      <c r="V29" s="87"/>
      <c r="W29" s="87"/>
      <c r="X29" s="153"/>
      <c r="Y29" s="173"/>
      <c r="Z29" s="153"/>
      <c r="AA29" s="153">
        <v>0.19</v>
      </c>
      <c r="AB29" s="153">
        <v>0.1</v>
      </c>
      <c r="AC29" s="87">
        <f t="shared" si="4"/>
        <v>0.0261</v>
      </c>
      <c r="AD29" s="174">
        <v>1</v>
      </c>
      <c r="AE29" s="175">
        <f>SUM(AE30:AE55)+AA29+AB29+AC29</f>
        <v>14.2549227642708</v>
      </c>
      <c r="AF29" s="175">
        <f t="shared" si="7"/>
        <v>16.108062723626</v>
      </c>
      <c r="AG29" s="178"/>
    </row>
    <row r="30" s="3" customFormat="1" ht="24" customHeight="1" spans="1:34">
      <c r="A30" s="26">
        <v>2.1</v>
      </c>
      <c r="B30" s="114" t="s">
        <v>105</v>
      </c>
      <c r="C30" s="28">
        <v>125500</v>
      </c>
      <c r="D30" s="28">
        <v>1</v>
      </c>
      <c r="E30" s="116" t="s">
        <v>106</v>
      </c>
      <c r="F30" s="117">
        <f>23.8/1.13</f>
        <v>21.0619469026549</v>
      </c>
      <c r="G30" s="118">
        <v>8.8</v>
      </c>
      <c r="H30" s="118">
        <v>12</v>
      </c>
      <c r="I30" s="132">
        <v>0.975</v>
      </c>
      <c r="J30" s="30" t="s">
        <v>76</v>
      </c>
      <c r="K30" s="136">
        <v>44.6</v>
      </c>
      <c r="L30" s="24">
        <v>15</v>
      </c>
      <c r="M30" s="137">
        <f>IFERROR(3600/L30*D30,"")</f>
        <v>240</v>
      </c>
      <c r="N30" s="133">
        <v>2</v>
      </c>
      <c r="O30" s="54"/>
      <c r="P30" s="136">
        <v>1</v>
      </c>
      <c r="Q30" s="137"/>
      <c r="R30" s="154">
        <f>(F30*(G30+H30))/I30/1000</f>
        <v>0.449321533923304</v>
      </c>
      <c r="S30" s="154">
        <f>IFERROR(K30/M30/I30,"")</f>
        <v>0.190598290598291</v>
      </c>
      <c r="T30" s="155">
        <f>IFERROR(N30*20/M30/I30+O30*20/P30/I30,"")</f>
        <v>0.170940170940171</v>
      </c>
      <c r="U30" s="154">
        <f>IFERROR(T30*0.35/0.65,"")</f>
        <v>0.0920447074293228</v>
      </c>
      <c r="V30" s="156">
        <f>SUM(Q30:U30)</f>
        <v>0.902904702891088</v>
      </c>
      <c r="W30" s="154">
        <f>V30</f>
        <v>0.902904702891088</v>
      </c>
      <c r="X30" s="30"/>
      <c r="Y30" s="30"/>
      <c r="Z30" s="30"/>
      <c r="AA30" s="30"/>
      <c r="AB30" s="30"/>
      <c r="AC30" s="30">
        <f t="shared" si="4"/>
        <v>0.0812614232601979</v>
      </c>
      <c r="AD30" s="91">
        <v>1</v>
      </c>
      <c r="AE30" s="30">
        <f>(V30+Z30+AA30+AB30+AC30)*AD30</f>
        <v>0.984166126151286</v>
      </c>
      <c r="AF30" s="30">
        <f t="shared" si="7"/>
        <v>1.11210772255095</v>
      </c>
      <c r="AG30" s="179"/>
      <c r="AH30" s="179"/>
    </row>
    <row r="31" s="3" customFormat="1" ht="12.75" spans="1:32">
      <c r="A31" s="26"/>
      <c r="B31" s="27" t="s">
        <v>107</v>
      </c>
      <c r="C31" s="28"/>
      <c r="D31" s="21"/>
      <c r="E31" s="116"/>
      <c r="F31" s="117"/>
      <c r="G31" s="30"/>
      <c r="H31" s="30"/>
      <c r="I31" s="25">
        <v>0.98</v>
      </c>
      <c r="J31" s="30"/>
      <c r="K31" s="136">
        <v>8.3</v>
      </c>
      <c r="L31" s="56">
        <v>40</v>
      </c>
      <c r="M31" s="137">
        <f>IFERROR(3600/L31,"")</f>
        <v>90</v>
      </c>
      <c r="N31" s="144">
        <v>1.5</v>
      </c>
      <c r="O31" s="144"/>
      <c r="P31" s="136">
        <v>1</v>
      </c>
      <c r="Q31" s="160">
        <f>W30*(1/I31-1)</f>
        <v>0.0184266265896141</v>
      </c>
      <c r="R31" s="30">
        <v>0.25</v>
      </c>
      <c r="S31" s="154">
        <f t="shared" ref="S31:S33" si="9">IFERROR(K31/M31/I31,"")</f>
        <v>0.0941043083900227</v>
      </c>
      <c r="T31" s="155">
        <f t="shared" ref="T31:T33" si="10">IFERROR(N31*20/M31/I31+O31*20/P31/I31,"")</f>
        <v>0.340136054421769</v>
      </c>
      <c r="U31" s="154">
        <f>IFERROR(T31*0.25/0.75,"")</f>
        <v>0.113378684807256</v>
      </c>
      <c r="V31" s="156">
        <f t="shared" ref="V31:V34" si="11">SUM(Q31:U31)</f>
        <v>0.816045674208662</v>
      </c>
      <c r="W31" s="154">
        <f>W30+V31</f>
        <v>1.71895037709975</v>
      </c>
      <c r="X31" s="72"/>
      <c r="Y31" s="75"/>
      <c r="Z31" s="72"/>
      <c r="AA31" s="72"/>
      <c r="AB31" s="72"/>
      <c r="AC31" s="30">
        <f t="shared" ref="AC31:AC55" si="12">(V31+Z31+AA31+AB31)*0.09</f>
        <v>0.0734441106787796</v>
      </c>
      <c r="AD31" s="91">
        <v>1</v>
      </c>
      <c r="AE31" s="72">
        <f>(V31+Z31+AA31+AB31+AC31)*AD31</f>
        <v>0.889489784887441</v>
      </c>
      <c r="AF31" s="72">
        <f t="shared" si="7"/>
        <v>1.00512345692281</v>
      </c>
    </row>
    <row r="32" s="3" customFormat="1" ht="12.75" spans="1:32">
      <c r="A32" s="26"/>
      <c r="B32" s="27" t="s">
        <v>108</v>
      </c>
      <c r="C32" s="28"/>
      <c r="D32" s="21"/>
      <c r="E32" s="116"/>
      <c r="F32" s="117"/>
      <c r="G32" s="30"/>
      <c r="H32" s="30"/>
      <c r="I32" s="132">
        <v>0.9</v>
      </c>
      <c r="J32" s="30"/>
      <c r="K32" s="136">
        <v>2050</v>
      </c>
      <c r="L32" s="56"/>
      <c r="M32" s="56">
        <v>8500</v>
      </c>
      <c r="N32" s="144">
        <v>65</v>
      </c>
      <c r="O32" s="144">
        <v>1</v>
      </c>
      <c r="P32" s="144">
        <v>150</v>
      </c>
      <c r="Q32" s="160">
        <f>W31*(1/I32-1)</f>
        <v>0.190994486344417</v>
      </c>
      <c r="R32" s="30">
        <f>H114/I32</f>
        <v>2.08092232055064</v>
      </c>
      <c r="S32" s="154">
        <f t="shared" si="9"/>
        <v>0.26797385620915</v>
      </c>
      <c r="T32" s="155">
        <f t="shared" si="10"/>
        <v>0.318082788671024</v>
      </c>
      <c r="U32" s="154">
        <f t="shared" ref="U32:U34" si="13">IFERROR(T32*0.25/0.75,"")</f>
        <v>0.106027596223675</v>
      </c>
      <c r="V32" s="156">
        <f t="shared" si="11"/>
        <v>2.9640010479989</v>
      </c>
      <c r="W32" s="154">
        <f>V32+W31</f>
        <v>4.68295142509865</v>
      </c>
      <c r="X32" s="72"/>
      <c r="Y32" s="75"/>
      <c r="Z32" s="72"/>
      <c r="AA32" s="72"/>
      <c r="AB32" s="72"/>
      <c r="AC32" s="30">
        <f t="shared" si="12"/>
        <v>0.266760094319901</v>
      </c>
      <c r="AD32" s="91">
        <v>1</v>
      </c>
      <c r="AE32" s="72">
        <f t="shared" ref="AE32:AE55" si="14">(V32+Z32+AA32+AB32+AC32)*AD32</f>
        <v>3.23076114231881</v>
      </c>
      <c r="AF32" s="72">
        <f t="shared" ref="AF32:AF34" si="15">AE32*1.13</f>
        <v>3.65076009082025</v>
      </c>
    </row>
    <row r="33" s="3" customFormat="1" ht="12.75" spans="1:32">
      <c r="A33" s="26"/>
      <c r="B33" s="27" t="s">
        <v>109</v>
      </c>
      <c r="C33" s="28"/>
      <c r="D33" s="21"/>
      <c r="E33" s="116"/>
      <c r="F33" s="117"/>
      <c r="G33" s="30"/>
      <c r="H33" s="30"/>
      <c r="I33" s="25">
        <v>0.97</v>
      </c>
      <c r="J33" s="30"/>
      <c r="K33" s="136">
        <v>20</v>
      </c>
      <c r="L33" s="56"/>
      <c r="M33" s="137" t="str">
        <f>IFERROR(3600/L33,"")</f>
        <v/>
      </c>
      <c r="N33" s="144"/>
      <c r="O33" s="144"/>
      <c r="P33" s="144">
        <v>100</v>
      </c>
      <c r="Q33" s="160">
        <f t="shared" ref="Q33:Q34" si="16">W32*(1/I33-1)</f>
        <v>0.144833549229856</v>
      </c>
      <c r="R33" s="30"/>
      <c r="S33" s="154" t="str">
        <f t="shared" si="9"/>
        <v/>
      </c>
      <c r="T33" s="155" t="str">
        <f t="shared" si="10"/>
        <v/>
      </c>
      <c r="U33" s="154" t="str">
        <f t="shared" si="13"/>
        <v/>
      </c>
      <c r="V33" s="156">
        <f t="shared" si="11"/>
        <v>0.144833549229856</v>
      </c>
      <c r="W33" s="154">
        <f>W32+V33</f>
        <v>4.82778497432851</v>
      </c>
      <c r="X33" s="72">
        <f>3.2/1.13</f>
        <v>2.83185840707965</v>
      </c>
      <c r="Y33" s="75">
        <v>0.03</v>
      </c>
      <c r="Z33" s="72">
        <f t="shared" ref="Z33" si="17">X33/(1-Y33)</f>
        <v>2.91944165678314</v>
      </c>
      <c r="AA33" s="72"/>
      <c r="AB33" s="72"/>
      <c r="AC33" s="30">
        <f t="shared" si="12"/>
        <v>0.27578476854117</v>
      </c>
      <c r="AD33" s="91">
        <v>1</v>
      </c>
      <c r="AE33" s="72">
        <f t="shared" si="14"/>
        <v>3.34005997455417</v>
      </c>
      <c r="AF33" s="72">
        <f t="shared" si="15"/>
        <v>3.77426777124621</v>
      </c>
    </row>
    <row r="34" ht="12.75" spans="1:32">
      <c r="A34" s="26"/>
      <c r="B34" s="27" t="s">
        <v>110</v>
      </c>
      <c r="C34" s="28"/>
      <c r="D34" s="21"/>
      <c r="E34" s="116"/>
      <c r="F34" s="117"/>
      <c r="G34" s="30"/>
      <c r="H34" s="30"/>
      <c r="I34" s="25">
        <v>0.985</v>
      </c>
      <c r="J34" s="30"/>
      <c r="K34" s="136"/>
      <c r="L34" s="56"/>
      <c r="M34" s="56">
        <v>900</v>
      </c>
      <c r="N34" s="146">
        <v>57</v>
      </c>
      <c r="O34" s="144"/>
      <c r="P34" s="136">
        <v>1</v>
      </c>
      <c r="Q34" s="160">
        <f t="shared" si="16"/>
        <v>0.0735195681369821</v>
      </c>
      <c r="R34" s="154"/>
      <c r="S34" s="30">
        <v>0.6</v>
      </c>
      <c r="T34" s="155">
        <f>IFERROR(N34*20/M34+O34*20/P34,"")</f>
        <v>1.26666666666667</v>
      </c>
      <c r="U34" s="154">
        <f t="shared" si="13"/>
        <v>0.422222222222222</v>
      </c>
      <c r="V34" s="156">
        <f t="shared" si="11"/>
        <v>2.36240845702587</v>
      </c>
      <c r="W34" s="154">
        <f>V34+W33</f>
        <v>7.19019343135438</v>
      </c>
      <c r="X34" s="72"/>
      <c r="Y34" s="75"/>
      <c r="Z34" s="72"/>
      <c r="AA34" s="72"/>
      <c r="AB34" s="72"/>
      <c r="AC34" s="30">
        <f t="shared" si="12"/>
        <v>0.212616761132328</v>
      </c>
      <c r="AD34" s="91">
        <v>1</v>
      </c>
      <c r="AE34" s="72">
        <f t="shared" si="14"/>
        <v>2.5750252181582</v>
      </c>
      <c r="AF34" s="72">
        <f t="shared" si="15"/>
        <v>2.90977849651876</v>
      </c>
    </row>
    <row r="35" ht="12.75" spans="1:32">
      <c r="A35" s="26">
        <v>2.2</v>
      </c>
      <c r="B35" s="27" t="s">
        <v>111</v>
      </c>
      <c r="C35" s="28">
        <v>30000</v>
      </c>
      <c r="D35" s="21"/>
      <c r="E35" s="116"/>
      <c r="F35" s="117"/>
      <c r="G35" s="30"/>
      <c r="H35" s="30"/>
      <c r="I35" s="25"/>
      <c r="J35" s="30"/>
      <c r="K35" s="54"/>
      <c r="L35" s="56"/>
      <c r="M35" s="56"/>
      <c r="N35" s="144"/>
      <c r="O35" s="144"/>
      <c r="P35" s="144"/>
      <c r="Q35" s="117"/>
      <c r="R35" s="30"/>
      <c r="S35" s="30"/>
      <c r="T35" s="69"/>
      <c r="U35" s="70"/>
      <c r="V35" s="162"/>
      <c r="W35" s="163"/>
      <c r="X35" s="72">
        <f>0.104/1.13</f>
        <v>0.0920353982300885</v>
      </c>
      <c r="Y35" s="75">
        <v>0.03</v>
      </c>
      <c r="Z35" s="72">
        <f t="shared" ref="Z35:Z55" si="18">X35/(1-Y35)</f>
        <v>0.0948818538454521</v>
      </c>
      <c r="AA35" s="72"/>
      <c r="AB35" s="72"/>
      <c r="AC35" s="30">
        <f t="shared" si="12"/>
        <v>0.00853936684609068</v>
      </c>
      <c r="AD35" s="91">
        <v>1</v>
      </c>
      <c r="AE35" s="72">
        <f t="shared" si="14"/>
        <v>0.103421220691543</v>
      </c>
      <c r="AF35" s="72">
        <f t="shared" si="7"/>
        <v>0.116865979381443</v>
      </c>
    </row>
    <row r="36" ht="12.75" spans="1:33">
      <c r="A36" s="26">
        <v>2.3</v>
      </c>
      <c r="B36" s="27" t="s">
        <v>112</v>
      </c>
      <c r="C36" s="28"/>
      <c r="D36" s="21"/>
      <c r="E36" s="116"/>
      <c r="F36" s="117"/>
      <c r="G36" s="30"/>
      <c r="H36" s="30"/>
      <c r="I36" s="25"/>
      <c r="J36" s="30"/>
      <c r="K36" s="54"/>
      <c r="L36" s="56"/>
      <c r="M36" s="56"/>
      <c r="N36" s="144"/>
      <c r="O36" s="144"/>
      <c r="P36" s="144"/>
      <c r="Q36" s="117"/>
      <c r="R36" s="30"/>
      <c r="S36" s="30"/>
      <c r="T36" s="69"/>
      <c r="U36" s="70"/>
      <c r="V36" s="162"/>
      <c r="W36" s="163"/>
      <c r="X36" s="72">
        <v>0.0619</v>
      </c>
      <c r="Y36" s="75">
        <v>0.03</v>
      </c>
      <c r="Z36" s="72">
        <f t="shared" si="18"/>
        <v>0.0638144329896907</v>
      </c>
      <c r="AA36" s="72"/>
      <c r="AB36" s="72"/>
      <c r="AC36" s="30">
        <f t="shared" si="12"/>
        <v>0.00574329896907216</v>
      </c>
      <c r="AD36" s="91">
        <v>1</v>
      </c>
      <c r="AE36" s="72">
        <f t="shared" si="14"/>
        <v>0.0695577319587629</v>
      </c>
      <c r="AF36" s="72">
        <f t="shared" si="7"/>
        <v>0.0786002371134021</v>
      </c>
      <c r="AG36" s="104">
        <f>SUMPRODUCT(X36:X54,AD36:AD54)*1.13</f>
        <v>2.831658</v>
      </c>
    </row>
    <row r="37" ht="12.75" spans="1:32">
      <c r="A37" s="26">
        <v>2.4</v>
      </c>
      <c r="B37" s="27" t="s">
        <v>113</v>
      </c>
      <c r="C37" s="28"/>
      <c r="D37" s="21"/>
      <c r="E37" s="116"/>
      <c r="F37" s="117"/>
      <c r="G37" s="30"/>
      <c r="H37" s="30"/>
      <c r="I37" s="25"/>
      <c r="J37" s="30"/>
      <c r="K37" s="54"/>
      <c r="L37" s="56"/>
      <c r="M37" s="56"/>
      <c r="N37" s="144"/>
      <c r="O37" s="144"/>
      <c r="P37" s="144"/>
      <c r="Q37" s="117"/>
      <c r="R37" s="30"/>
      <c r="S37" s="30"/>
      <c r="T37" s="69"/>
      <c r="U37" s="70"/>
      <c r="V37" s="162"/>
      <c r="W37" s="163"/>
      <c r="X37" s="72">
        <v>0.0177</v>
      </c>
      <c r="Y37" s="75">
        <v>0.03</v>
      </c>
      <c r="Z37" s="72">
        <f t="shared" si="18"/>
        <v>0.0182474226804124</v>
      </c>
      <c r="AA37" s="72"/>
      <c r="AB37" s="72"/>
      <c r="AC37" s="30">
        <f t="shared" si="12"/>
        <v>0.00164226804123711</v>
      </c>
      <c r="AD37" s="91">
        <v>1</v>
      </c>
      <c r="AE37" s="72">
        <f t="shared" si="14"/>
        <v>0.0198896907216495</v>
      </c>
      <c r="AF37" s="72">
        <f t="shared" si="7"/>
        <v>0.0224753505154639</v>
      </c>
    </row>
    <row r="38" ht="12.75" spans="1:32">
      <c r="A38" s="26">
        <v>2.5</v>
      </c>
      <c r="B38" s="27" t="s">
        <v>114</v>
      </c>
      <c r="C38" s="28"/>
      <c r="D38" s="21"/>
      <c r="E38" s="116"/>
      <c r="F38" s="117"/>
      <c r="G38" s="30"/>
      <c r="H38" s="30"/>
      <c r="I38" s="25"/>
      <c r="J38" s="30"/>
      <c r="K38" s="54"/>
      <c r="L38" s="56"/>
      <c r="M38" s="56"/>
      <c r="N38" s="144"/>
      <c r="O38" s="144"/>
      <c r="P38" s="144"/>
      <c r="Q38" s="117"/>
      <c r="R38" s="30"/>
      <c r="S38" s="30"/>
      <c r="T38" s="69"/>
      <c r="U38" s="70"/>
      <c r="V38" s="162"/>
      <c r="W38" s="163"/>
      <c r="X38" s="72">
        <f>0.15/1.13</f>
        <v>0.132743362831858</v>
      </c>
      <c r="Y38" s="75">
        <v>0.03</v>
      </c>
      <c r="Z38" s="72">
        <f t="shared" si="18"/>
        <v>0.13684882766171</v>
      </c>
      <c r="AA38" s="72"/>
      <c r="AB38" s="72"/>
      <c r="AC38" s="30">
        <f t="shared" si="12"/>
        <v>0.0123163944895539</v>
      </c>
      <c r="AD38" s="91">
        <v>1</v>
      </c>
      <c r="AE38" s="72">
        <f t="shared" si="14"/>
        <v>0.149165222151264</v>
      </c>
      <c r="AF38" s="72">
        <f t="shared" si="7"/>
        <v>0.168556701030928</v>
      </c>
    </row>
    <row r="39" ht="12.75" spans="1:32">
      <c r="A39" s="26">
        <v>2.6</v>
      </c>
      <c r="B39" s="27" t="s">
        <v>115</v>
      </c>
      <c r="C39" s="28"/>
      <c r="D39" s="21"/>
      <c r="E39" s="116"/>
      <c r="F39" s="117"/>
      <c r="G39" s="30"/>
      <c r="H39" s="30"/>
      <c r="I39" s="25"/>
      <c r="J39" s="30"/>
      <c r="K39" s="54"/>
      <c r="L39" s="56"/>
      <c r="M39" s="56"/>
      <c r="N39" s="144"/>
      <c r="O39" s="144"/>
      <c r="P39" s="144"/>
      <c r="Q39" s="117"/>
      <c r="R39" s="30"/>
      <c r="S39" s="30"/>
      <c r="T39" s="69"/>
      <c r="U39" s="70"/>
      <c r="V39" s="162"/>
      <c r="W39" s="163"/>
      <c r="X39" s="164">
        <f>1.75/1.13</f>
        <v>1.54867256637168</v>
      </c>
      <c r="Y39" s="75">
        <v>0.03</v>
      </c>
      <c r="Z39" s="72">
        <f t="shared" si="18"/>
        <v>1.59656965605328</v>
      </c>
      <c r="AA39" s="72"/>
      <c r="AB39" s="72"/>
      <c r="AC39" s="30">
        <f t="shared" si="12"/>
        <v>0.143691269044795</v>
      </c>
      <c r="AD39" s="91">
        <v>1</v>
      </c>
      <c r="AE39" s="72">
        <f t="shared" si="14"/>
        <v>1.74026092509808</v>
      </c>
      <c r="AF39" s="72">
        <f t="shared" si="7"/>
        <v>1.96649484536082</v>
      </c>
    </row>
    <row r="40" ht="12.75" spans="1:32">
      <c r="A40" s="26">
        <v>2.7</v>
      </c>
      <c r="B40" s="27" t="s">
        <v>116</v>
      </c>
      <c r="C40" s="28"/>
      <c r="D40" s="21"/>
      <c r="E40" s="116"/>
      <c r="F40" s="117"/>
      <c r="G40" s="30"/>
      <c r="H40" s="30"/>
      <c r="I40" s="25"/>
      <c r="J40" s="30"/>
      <c r="K40" s="54"/>
      <c r="L40" s="56"/>
      <c r="M40" s="56"/>
      <c r="N40" s="144"/>
      <c r="O40" s="144"/>
      <c r="P40" s="144"/>
      <c r="Q40" s="117"/>
      <c r="R40" s="30"/>
      <c r="S40" s="30"/>
      <c r="T40" s="69"/>
      <c r="U40" s="70"/>
      <c r="V40" s="162"/>
      <c r="W40" s="167"/>
      <c r="X40" s="168"/>
      <c r="Y40" s="75">
        <v>0.03</v>
      </c>
      <c r="Z40" s="72">
        <f t="shared" si="18"/>
        <v>0</v>
      </c>
      <c r="AA40" s="72"/>
      <c r="AB40" s="72"/>
      <c r="AC40" s="30">
        <f t="shared" si="12"/>
        <v>0</v>
      </c>
      <c r="AD40" s="91">
        <v>1</v>
      </c>
      <c r="AE40" s="72">
        <f t="shared" si="14"/>
        <v>0</v>
      </c>
      <c r="AF40" s="72">
        <f t="shared" si="7"/>
        <v>0</v>
      </c>
    </row>
    <row r="41" ht="12.75" spans="1:32">
      <c r="A41" s="26">
        <v>2.8</v>
      </c>
      <c r="B41" s="27" t="s">
        <v>117</v>
      </c>
      <c r="C41" s="28"/>
      <c r="D41" s="21"/>
      <c r="E41" s="116"/>
      <c r="F41" s="117"/>
      <c r="G41" s="30"/>
      <c r="H41" s="30"/>
      <c r="I41" s="25"/>
      <c r="J41" s="30"/>
      <c r="K41" s="54"/>
      <c r="L41" s="56"/>
      <c r="M41" s="56"/>
      <c r="N41" s="144"/>
      <c r="O41" s="144"/>
      <c r="P41" s="144"/>
      <c r="Q41" s="117"/>
      <c r="R41" s="30"/>
      <c r="S41" s="30"/>
      <c r="T41" s="69"/>
      <c r="U41" s="70"/>
      <c r="V41" s="162"/>
      <c r="W41" s="163"/>
      <c r="X41" s="168"/>
      <c r="Y41" s="75">
        <v>0.03</v>
      </c>
      <c r="Z41" s="72">
        <f t="shared" si="18"/>
        <v>0</v>
      </c>
      <c r="AA41" s="72"/>
      <c r="AB41" s="72"/>
      <c r="AC41" s="30">
        <f t="shared" si="12"/>
        <v>0</v>
      </c>
      <c r="AD41" s="91">
        <v>1</v>
      </c>
      <c r="AE41" s="72">
        <f t="shared" si="14"/>
        <v>0</v>
      </c>
      <c r="AF41" s="72">
        <f t="shared" si="7"/>
        <v>0</v>
      </c>
    </row>
    <row r="42" ht="12.75" spans="1:32">
      <c r="A42" s="26">
        <v>2.9</v>
      </c>
      <c r="B42" s="27" t="s">
        <v>118</v>
      </c>
      <c r="C42" s="28"/>
      <c r="D42" s="21"/>
      <c r="E42" s="116"/>
      <c r="F42" s="117"/>
      <c r="G42" s="30"/>
      <c r="H42" s="30"/>
      <c r="I42" s="25"/>
      <c r="J42" s="30"/>
      <c r="K42" s="54"/>
      <c r="L42" s="56"/>
      <c r="M42" s="56"/>
      <c r="N42" s="144"/>
      <c r="O42" s="144"/>
      <c r="P42" s="144"/>
      <c r="Q42" s="117"/>
      <c r="R42" s="30"/>
      <c r="S42" s="30"/>
      <c r="T42" s="69"/>
      <c r="U42" s="70"/>
      <c r="V42" s="162"/>
      <c r="W42" s="163"/>
      <c r="X42" s="168"/>
      <c r="Y42" s="75">
        <v>0.03</v>
      </c>
      <c r="Z42" s="72">
        <f t="shared" si="18"/>
        <v>0</v>
      </c>
      <c r="AA42" s="72"/>
      <c r="AB42" s="72"/>
      <c r="AC42" s="30">
        <f t="shared" si="12"/>
        <v>0</v>
      </c>
      <c r="AD42" s="91">
        <v>1</v>
      </c>
      <c r="AE42" s="72">
        <f t="shared" si="14"/>
        <v>0</v>
      </c>
      <c r="AF42" s="72">
        <f t="shared" si="7"/>
        <v>0</v>
      </c>
    </row>
    <row r="43" ht="12.75" spans="1:32">
      <c r="A43" s="26">
        <v>2.1</v>
      </c>
      <c r="B43" s="27" t="s">
        <v>119</v>
      </c>
      <c r="C43" s="28"/>
      <c r="D43" s="21"/>
      <c r="E43" s="116"/>
      <c r="F43" s="117"/>
      <c r="G43" s="30"/>
      <c r="H43" s="30"/>
      <c r="I43" s="25"/>
      <c r="J43" s="30"/>
      <c r="K43" s="54"/>
      <c r="L43" s="56"/>
      <c r="M43" s="56"/>
      <c r="N43" s="144"/>
      <c r="O43" s="144"/>
      <c r="P43" s="144"/>
      <c r="Q43" s="117"/>
      <c r="R43" s="30"/>
      <c r="S43" s="30"/>
      <c r="T43" s="69"/>
      <c r="U43" s="70"/>
      <c r="V43" s="162"/>
      <c r="W43" s="163"/>
      <c r="X43" s="168"/>
      <c r="Y43" s="75">
        <v>0.03</v>
      </c>
      <c r="Z43" s="72">
        <f t="shared" si="18"/>
        <v>0</v>
      </c>
      <c r="AA43" s="72"/>
      <c r="AB43" s="72"/>
      <c r="AC43" s="30">
        <f t="shared" si="12"/>
        <v>0</v>
      </c>
      <c r="AD43" s="91">
        <v>1</v>
      </c>
      <c r="AE43" s="72">
        <f t="shared" si="14"/>
        <v>0</v>
      </c>
      <c r="AF43" s="72">
        <f t="shared" si="7"/>
        <v>0</v>
      </c>
    </row>
    <row r="44" ht="12.75" spans="1:32">
      <c r="A44" s="26">
        <v>2.11</v>
      </c>
      <c r="B44" s="27" t="s">
        <v>120</v>
      </c>
      <c r="C44" s="28"/>
      <c r="D44" s="21"/>
      <c r="E44" s="116"/>
      <c r="F44" s="117"/>
      <c r="G44" s="30"/>
      <c r="H44" s="30"/>
      <c r="I44" s="25"/>
      <c r="J44" s="30"/>
      <c r="K44" s="54"/>
      <c r="L44" s="56"/>
      <c r="M44" s="56"/>
      <c r="N44" s="144"/>
      <c r="O44" s="144"/>
      <c r="P44" s="144"/>
      <c r="Q44" s="117"/>
      <c r="R44" s="30"/>
      <c r="S44" s="30"/>
      <c r="T44" s="69"/>
      <c r="U44" s="70"/>
      <c r="V44" s="162"/>
      <c r="W44" s="163"/>
      <c r="X44" s="168"/>
      <c r="Y44" s="75">
        <v>0.03</v>
      </c>
      <c r="Z44" s="72">
        <f t="shared" si="18"/>
        <v>0</v>
      </c>
      <c r="AA44" s="72"/>
      <c r="AB44" s="72"/>
      <c r="AC44" s="30">
        <f t="shared" si="12"/>
        <v>0</v>
      </c>
      <c r="AD44" s="91">
        <v>1</v>
      </c>
      <c r="AE44" s="72">
        <f t="shared" si="14"/>
        <v>0</v>
      </c>
      <c r="AF44" s="72">
        <f t="shared" si="7"/>
        <v>0</v>
      </c>
    </row>
    <row r="45" ht="12.75" spans="1:32">
      <c r="A45" s="26">
        <v>2.12</v>
      </c>
      <c r="B45" s="27" t="s">
        <v>121</v>
      </c>
      <c r="C45" s="28"/>
      <c r="D45" s="21"/>
      <c r="E45" s="116"/>
      <c r="F45" s="117"/>
      <c r="G45" s="30"/>
      <c r="H45" s="30"/>
      <c r="I45" s="25"/>
      <c r="J45" s="30"/>
      <c r="K45" s="54"/>
      <c r="L45" s="56"/>
      <c r="M45" s="56"/>
      <c r="N45" s="144"/>
      <c r="O45" s="144"/>
      <c r="P45" s="144"/>
      <c r="Q45" s="117"/>
      <c r="R45" s="30"/>
      <c r="S45" s="30"/>
      <c r="T45" s="69"/>
      <c r="U45" s="70"/>
      <c r="V45" s="162"/>
      <c r="W45" s="163"/>
      <c r="X45" s="165"/>
      <c r="Y45" s="75">
        <v>0.03</v>
      </c>
      <c r="Z45" s="72">
        <f t="shared" si="18"/>
        <v>0</v>
      </c>
      <c r="AA45" s="72"/>
      <c r="AB45" s="72"/>
      <c r="AC45" s="30">
        <f t="shared" si="12"/>
        <v>0</v>
      </c>
      <c r="AD45" s="91">
        <v>1</v>
      </c>
      <c r="AE45" s="72">
        <f t="shared" si="14"/>
        <v>0</v>
      </c>
      <c r="AF45" s="72">
        <f t="shared" si="7"/>
        <v>0</v>
      </c>
    </row>
    <row r="46" ht="12.75" spans="1:32">
      <c r="A46" s="26">
        <v>2.13</v>
      </c>
      <c r="B46" s="126" t="s">
        <v>122</v>
      </c>
      <c r="C46" s="28"/>
      <c r="D46" s="21"/>
      <c r="E46" s="116"/>
      <c r="F46" s="117"/>
      <c r="G46" s="30"/>
      <c r="H46" s="30"/>
      <c r="I46" s="25"/>
      <c r="J46" s="30"/>
      <c r="K46" s="54"/>
      <c r="L46" s="56"/>
      <c r="M46" s="56"/>
      <c r="N46" s="144"/>
      <c r="O46" s="144"/>
      <c r="P46" s="144"/>
      <c r="Q46" s="117"/>
      <c r="R46" s="30"/>
      <c r="S46" s="30"/>
      <c r="T46" s="69"/>
      <c r="U46" s="70"/>
      <c r="V46" s="162"/>
      <c r="W46" s="163"/>
      <c r="X46" s="72"/>
      <c r="Y46" s="75">
        <v>0.03</v>
      </c>
      <c r="Z46" s="72">
        <f t="shared" si="18"/>
        <v>0</v>
      </c>
      <c r="AA46" s="72"/>
      <c r="AB46" s="72"/>
      <c r="AC46" s="30">
        <f t="shared" si="12"/>
        <v>0</v>
      </c>
      <c r="AD46" s="91"/>
      <c r="AE46" s="72">
        <f t="shared" si="14"/>
        <v>0</v>
      </c>
      <c r="AF46" s="72">
        <f t="shared" si="7"/>
        <v>0</v>
      </c>
    </row>
    <row r="47" ht="12.75" spans="1:32">
      <c r="A47" s="26">
        <v>2.14</v>
      </c>
      <c r="B47" s="27" t="s">
        <v>123</v>
      </c>
      <c r="C47" s="28"/>
      <c r="D47" s="21"/>
      <c r="E47" s="116"/>
      <c r="F47" s="117"/>
      <c r="G47" s="30"/>
      <c r="H47" s="30"/>
      <c r="I47" s="25"/>
      <c r="J47" s="30"/>
      <c r="K47" s="54"/>
      <c r="L47" s="56"/>
      <c r="M47" s="56"/>
      <c r="N47" s="144"/>
      <c r="O47" s="144"/>
      <c r="P47" s="144"/>
      <c r="Q47" s="117"/>
      <c r="R47" s="30"/>
      <c r="S47" s="30"/>
      <c r="T47" s="69"/>
      <c r="U47" s="70"/>
      <c r="V47" s="162"/>
      <c r="W47" s="163"/>
      <c r="X47" s="72">
        <v>0.0619</v>
      </c>
      <c r="Y47" s="75">
        <v>0.03</v>
      </c>
      <c r="Z47" s="72">
        <f t="shared" si="18"/>
        <v>0.0638144329896907</v>
      </c>
      <c r="AA47" s="72"/>
      <c r="AB47" s="72"/>
      <c r="AC47" s="30">
        <f t="shared" si="12"/>
        <v>0.00574329896907216</v>
      </c>
      <c r="AD47" s="91">
        <v>1</v>
      </c>
      <c r="AE47" s="72">
        <f t="shared" si="14"/>
        <v>0.0695577319587629</v>
      </c>
      <c r="AF47" s="72">
        <f t="shared" si="7"/>
        <v>0.0786002371134021</v>
      </c>
    </row>
    <row r="48" ht="12.75" spans="1:32">
      <c r="A48" s="26">
        <v>2.15</v>
      </c>
      <c r="B48" s="27" t="s">
        <v>124</v>
      </c>
      <c r="C48" s="28"/>
      <c r="D48" s="21"/>
      <c r="E48" s="116"/>
      <c r="F48" s="117"/>
      <c r="G48" s="30"/>
      <c r="H48" s="30"/>
      <c r="I48" s="25"/>
      <c r="J48" s="30"/>
      <c r="K48" s="54"/>
      <c r="L48" s="56"/>
      <c r="M48" s="56"/>
      <c r="N48" s="144"/>
      <c r="O48" s="144"/>
      <c r="P48" s="144"/>
      <c r="Q48" s="117"/>
      <c r="R48" s="30"/>
      <c r="S48" s="30"/>
      <c r="T48" s="69"/>
      <c r="U48" s="70"/>
      <c r="V48" s="162"/>
      <c r="W48" s="163"/>
      <c r="X48" s="72">
        <f>0.54/1.13</f>
        <v>0.47787610619469</v>
      </c>
      <c r="Y48" s="75">
        <v>0.03</v>
      </c>
      <c r="Z48" s="72">
        <f t="shared" si="18"/>
        <v>0.492655779582155</v>
      </c>
      <c r="AA48" s="72"/>
      <c r="AB48" s="72"/>
      <c r="AC48" s="30">
        <f t="shared" si="12"/>
        <v>0.044339020162394</v>
      </c>
      <c r="AD48" s="91">
        <v>1</v>
      </c>
      <c r="AE48" s="72">
        <f t="shared" si="14"/>
        <v>0.536994799744549</v>
      </c>
      <c r="AF48" s="72">
        <f t="shared" si="7"/>
        <v>0.60680412371134</v>
      </c>
    </row>
    <row r="49" ht="12.75" spans="1:32">
      <c r="A49" s="26">
        <v>2.16</v>
      </c>
      <c r="B49" s="27" t="s">
        <v>125</v>
      </c>
      <c r="C49" s="28"/>
      <c r="D49" s="21"/>
      <c r="E49" s="116"/>
      <c r="F49" s="117"/>
      <c r="G49" s="30"/>
      <c r="H49" s="30"/>
      <c r="I49" s="25"/>
      <c r="J49" s="30"/>
      <c r="K49" s="54"/>
      <c r="L49" s="56"/>
      <c r="M49" s="56"/>
      <c r="N49" s="144"/>
      <c r="O49" s="144"/>
      <c r="P49" s="144"/>
      <c r="Q49" s="117"/>
      <c r="R49" s="30"/>
      <c r="S49" s="30"/>
      <c r="T49" s="69"/>
      <c r="U49" s="70"/>
      <c r="V49" s="162"/>
      <c r="W49" s="163"/>
      <c r="X49" s="72">
        <v>0.0088</v>
      </c>
      <c r="Y49" s="75">
        <v>0.03</v>
      </c>
      <c r="Z49" s="72">
        <f t="shared" si="18"/>
        <v>0.00907216494845361</v>
      </c>
      <c r="AA49" s="72"/>
      <c r="AB49" s="72"/>
      <c r="AC49" s="30">
        <f t="shared" si="12"/>
        <v>0.000816494845360825</v>
      </c>
      <c r="AD49" s="91">
        <v>1</v>
      </c>
      <c r="AE49" s="72">
        <f t="shared" si="14"/>
        <v>0.00988865979381444</v>
      </c>
      <c r="AF49" s="72">
        <f t="shared" si="7"/>
        <v>0.0111741855670103</v>
      </c>
    </row>
    <row r="50" ht="12.75" spans="1:32">
      <c r="A50" s="26">
        <v>2.16</v>
      </c>
      <c r="B50" s="27" t="s">
        <v>126</v>
      </c>
      <c r="C50" s="28"/>
      <c r="D50" s="21"/>
      <c r="E50" s="116"/>
      <c r="F50" s="117"/>
      <c r="G50" s="30"/>
      <c r="H50" s="30"/>
      <c r="I50" s="25"/>
      <c r="J50" s="30"/>
      <c r="K50" s="54"/>
      <c r="L50" s="56"/>
      <c r="M50" s="56"/>
      <c r="N50" s="144"/>
      <c r="O50" s="144"/>
      <c r="P50" s="144"/>
      <c r="Q50" s="117"/>
      <c r="R50" s="30"/>
      <c r="S50" s="30"/>
      <c r="T50" s="69"/>
      <c r="U50" s="70"/>
      <c r="V50" s="162"/>
      <c r="W50" s="163"/>
      <c r="X50" s="72">
        <v>0.0088</v>
      </c>
      <c r="Y50" s="75">
        <v>0.03</v>
      </c>
      <c r="Z50" s="72">
        <f t="shared" si="18"/>
        <v>0.00907216494845361</v>
      </c>
      <c r="AA50" s="72"/>
      <c r="AB50" s="72"/>
      <c r="AC50" s="30">
        <f t="shared" si="12"/>
        <v>0.000816494845360825</v>
      </c>
      <c r="AD50" s="91">
        <v>1</v>
      </c>
      <c r="AE50" s="72">
        <f t="shared" si="14"/>
        <v>0.00988865979381444</v>
      </c>
      <c r="AF50" s="72">
        <f t="shared" si="7"/>
        <v>0.0111741855670103</v>
      </c>
    </row>
    <row r="51" ht="12.75" spans="1:32">
      <c r="A51" s="26">
        <v>2.16</v>
      </c>
      <c r="B51" s="27" t="s">
        <v>127</v>
      </c>
      <c r="C51" s="28"/>
      <c r="D51" s="21"/>
      <c r="E51" s="116"/>
      <c r="F51" s="117"/>
      <c r="G51" s="30"/>
      <c r="H51" s="30"/>
      <c r="I51" s="25"/>
      <c r="J51" s="30"/>
      <c r="K51" s="54"/>
      <c r="L51" s="56"/>
      <c r="M51" s="56"/>
      <c r="N51" s="144"/>
      <c r="O51" s="144"/>
      <c r="P51" s="144"/>
      <c r="Q51" s="117"/>
      <c r="R51" s="30"/>
      <c r="S51" s="30"/>
      <c r="T51" s="69"/>
      <c r="U51" s="70"/>
      <c r="V51" s="162"/>
      <c r="W51" s="163"/>
      <c r="X51" s="72">
        <v>0.0088</v>
      </c>
      <c r="Y51" s="75">
        <v>0.03</v>
      </c>
      <c r="Z51" s="72">
        <f t="shared" si="18"/>
        <v>0.00907216494845361</v>
      </c>
      <c r="AA51" s="72"/>
      <c r="AB51" s="72"/>
      <c r="AC51" s="30">
        <f t="shared" si="12"/>
        <v>0.000816494845360825</v>
      </c>
      <c r="AD51" s="91">
        <v>1</v>
      </c>
      <c r="AE51" s="72">
        <f t="shared" si="14"/>
        <v>0.00988865979381444</v>
      </c>
      <c r="AF51" s="72">
        <f t="shared" si="7"/>
        <v>0.0111741855670103</v>
      </c>
    </row>
    <row r="52" ht="12.75" spans="1:32">
      <c r="A52" s="26">
        <v>2.17</v>
      </c>
      <c r="B52" s="27" t="s">
        <v>128</v>
      </c>
      <c r="C52" s="28"/>
      <c r="D52" s="21"/>
      <c r="E52" s="116"/>
      <c r="F52" s="117"/>
      <c r="G52" s="30"/>
      <c r="H52" s="30"/>
      <c r="I52" s="25"/>
      <c r="J52" s="30"/>
      <c r="K52" s="54"/>
      <c r="L52" s="56"/>
      <c r="M52" s="56"/>
      <c r="N52" s="144"/>
      <c r="O52" s="144"/>
      <c r="P52" s="144"/>
      <c r="Q52" s="117"/>
      <c r="R52" s="30"/>
      <c r="S52" s="30"/>
      <c r="T52" s="69"/>
      <c r="U52" s="70"/>
      <c r="V52" s="162"/>
      <c r="W52" s="169"/>
      <c r="X52" s="72">
        <v>0.0106</v>
      </c>
      <c r="Y52" s="75">
        <v>0.03</v>
      </c>
      <c r="Z52" s="72">
        <f t="shared" si="18"/>
        <v>0.0109278350515464</v>
      </c>
      <c r="AA52" s="72"/>
      <c r="AB52" s="72"/>
      <c r="AC52" s="30">
        <f t="shared" si="12"/>
        <v>0.000983505154639175</v>
      </c>
      <c r="AD52" s="91">
        <v>1</v>
      </c>
      <c r="AE52" s="72">
        <f t="shared" si="14"/>
        <v>0.0119113402061856</v>
      </c>
      <c r="AF52" s="72">
        <f t="shared" si="7"/>
        <v>0.0134598144329897</v>
      </c>
    </row>
    <row r="53" ht="12.75" spans="1:32">
      <c r="A53" s="26">
        <v>2.18</v>
      </c>
      <c r="B53" s="27" t="s">
        <v>129</v>
      </c>
      <c r="C53" s="28"/>
      <c r="D53" s="21"/>
      <c r="E53" s="116"/>
      <c r="F53" s="117"/>
      <c r="G53" s="30"/>
      <c r="H53" s="30"/>
      <c r="I53" s="25"/>
      <c r="J53" s="30"/>
      <c r="K53" s="54"/>
      <c r="L53" s="56"/>
      <c r="M53" s="56"/>
      <c r="N53" s="144"/>
      <c r="O53" s="144"/>
      <c r="P53" s="144"/>
      <c r="Q53" s="117"/>
      <c r="R53" s="30"/>
      <c r="S53" s="30"/>
      <c r="T53" s="69"/>
      <c r="U53" s="70"/>
      <c r="V53" s="162"/>
      <c r="W53" s="167"/>
      <c r="X53" s="72"/>
      <c r="Y53" s="75">
        <v>0.03</v>
      </c>
      <c r="Z53" s="72">
        <f t="shared" si="18"/>
        <v>0</v>
      </c>
      <c r="AA53" s="72"/>
      <c r="AB53" s="72"/>
      <c r="AC53" s="30">
        <f t="shared" si="12"/>
        <v>0</v>
      </c>
      <c r="AD53" s="91">
        <v>1</v>
      </c>
      <c r="AE53" s="72">
        <f t="shared" si="14"/>
        <v>0</v>
      </c>
      <c r="AF53" s="72">
        <f t="shared" si="7"/>
        <v>0</v>
      </c>
    </row>
    <row r="54" ht="12.75" spans="1:32">
      <c r="A54" s="26">
        <v>2.19</v>
      </c>
      <c r="B54" s="27" t="s">
        <v>130</v>
      </c>
      <c r="C54" s="28"/>
      <c r="D54" s="21"/>
      <c r="E54" s="116"/>
      <c r="F54" s="117"/>
      <c r="G54" s="30"/>
      <c r="H54" s="30"/>
      <c r="I54" s="25"/>
      <c r="J54" s="30"/>
      <c r="K54" s="54"/>
      <c r="L54" s="56"/>
      <c r="M54" s="56"/>
      <c r="N54" s="144"/>
      <c r="O54" s="144"/>
      <c r="P54" s="144"/>
      <c r="Q54" s="117"/>
      <c r="R54" s="30"/>
      <c r="S54" s="30"/>
      <c r="T54" s="69"/>
      <c r="U54" s="70"/>
      <c r="V54" s="162"/>
      <c r="W54" s="163"/>
      <c r="X54" s="72">
        <v>0.1681</v>
      </c>
      <c r="Y54" s="75">
        <v>0.03</v>
      </c>
      <c r="Z54" s="72">
        <f t="shared" si="18"/>
        <v>0.173298969072165</v>
      </c>
      <c r="AA54" s="72"/>
      <c r="AB54" s="72"/>
      <c r="AC54" s="30">
        <f t="shared" si="12"/>
        <v>0.0155969072164948</v>
      </c>
      <c r="AD54" s="91">
        <v>1</v>
      </c>
      <c r="AE54" s="72">
        <f t="shared" si="14"/>
        <v>0.18889587628866</v>
      </c>
      <c r="AF54" s="72">
        <f t="shared" si="7"/>
        <v>0.213452340206186</v>
      </c>
    </row>
    <row r="55" ht="12.75" spans="1:32">
      <c r="A55" s="26">
        <v>2.19</v>
      </c>
      <c r="B55" s="27" t="s">
        <v>101</v>
      </c>
      <c r="C55" s="28"/>
      <c r="D55" s="21"/>
      <c r="E55" s="116"/>
      <c r="F55" s="117"/>
      <c r="G55" s="30"/>
      <c r="H55" s="30"/>
      <c r="I55" s="25"/>
      <c r="J55" s="30"/>
      <c r="K55" s="54"/>
      <c r="L55" s="56"/>
      <c r="M55" s="56"/>
      <c r="N55" s="144"/>
      <c r="O55" s="144"/>
      <c r="P55" s="144"/>
      <c r="Q55" s="117"/>
      <c r="R55" s="30"/>
      <c r="S55" s="30"/>
      <c r="T55" s="69"/>
      <c r="U55" s="70"/>
      <c r="V55" s="162"/>
      <c r="W55" s="163"/>
      <c r="X55" s="72"/>
      <c r="Y55" s="75">
        <v>0.03</v>
      </c>
      <c r="Z55" s="72">
        <f t="shared" si="18"/>
        <v>0</v>
      </c>
      <c r="AA55" s="72"/>
      <c r="AB55" s="72"/>
      <c r="AC55" s="30">
        <f t="shared" si="12"/>
        <v>0</v>
      </c>
      <c r="AD55" s="91">
        <v>1</v>
      </c>
      <c r="AE55" s="72">
        <f t="shared" si="14"/>
        <v>0</v>
      </c>
      <c r="AF55" s="72">
        <f t="shared" si="7"/>
        <v>0</v>
      </c>
    </row>
    <row r="56" ht="12.75" spans="1:32">
      <c r="A56" s="110">
        <v>3</v>
      </c>
      <c r="B56" s="111" t="s">
        <v>32</v>
      </c>
      <c r="C56" s="111"/>
      <c r="D56" s="112"/>
      <c r="E56" s="113"/>
      <c r="F56" s="71"/>
      <c r="G56" s="71"/>
      <c r="H56" s="71"/>
      <c r="I56" s="132"/>
      <c r="J56" s="71"/>
      <c r="K56" s="133"/>
      <c r="L56" s="134"/>
      <c r="M56" s="134"/>
      <c r="N56" s="133"/>
      <c r="O56" s="133"/>
      <c r="P56" s="133"/>
      <c r="Q56" s="134"/>
      <c r="R56" s="71"/>
      <c r="S56" s="71"/>
      <c r="T56" s="151"/>
      <c r="U56" s="152"/>
      <c r="V56" s="87"/>
      <c r="W56" s="87"/>
      <c r="X56" s="153"/>
      <c r="Y56" s="173"/>
      <c r="Z56" s="153"/>
      <c r="AA56" s="153"/>
      <c r="AB56" s="153"/>
      <c r="AC56" s="87">
        <f t="shared" si="4"/>
        <v>0</v>
      </c>
      <c r="AD56" s="174">
        <v>1</v>
      </c>
      <c r="AE56" s="175">
        <f>SUM(AE57:AE66)+AA56+AB56+AC56</f>
        <v>10.1190266490284</v>
      </c>
      <c r="AF56" s="175">
        <f t="shared" si="7"/>
        <v>11.4345001134021</v>
      </c>
    </row>
    <row r="57" ht="12.75" spans="1:32">
      <c r="A57" s="26">
        <v>3.1</v>
      </c>
      <c r="B57" s="27" t="s">
        <v>131</v>
      </c>
      <c r="C57" s="28">
        <v>30000</v>
      </c>
      <c r="D57" s="21"/>
      <c r="E57" s="116"/>
      <c r="F57" s="117"/>
      <c r="G57" s="30"/>
      <c r="H57" s="30"/>
      <c r="I57" s="25"/>
      <c r="J57" s="30"/>
      <c r="K57" s="54"/>
      <c r="L57" s="56"/>
      <c r="M57" s="56"/>
      <c r="N57" s="144"/>
      <c r="O57" s="144"/>
      <c r="P57" s="144"/>
      <c r="Q57" s="117"/>
      <c r="R57" s="30"/>
      <c r="S57" s="30"/>
      <c r="T57" s="69"/>
      <c r="U57" s="70"/>
      <c r="V57" s="162"/>
      <c r="W57" s="163"/>
      <c r="X57" s="87">
        <f>9.82/1.13</f>
        <v>8.69026548672566</v>
      </c>
      <c r="Y57" s="75">
        <v>0</v>
      </c>
      <c r="Z57" s="72">
        <f t="shared" ref="Z57:Z66" si="19">X57/(1-Y57)</f>
        <v>8.69026548672566</v>
      </c>
      <c r="AA57" s="72"/>
      <c r="AB57" s="72"/>
      <c r="AC57" s="30">
        <f>(V57+Z57+AA57+AB57)*0.02</f>
        <v>0.173805309734513</v>
      </c>
      <c r="AD57" s="91">
        <v>1</v>
      </c>
      <c r="AE57" s="72">
        <f>(V57+Z57+AA57+AB57+AC57)*AD57</f>
        <v>8.86407079646018</v>
      </c>
      <c r="AF57" s="72">
        <f t="shared" si="7"/>
        <v>10.0164</v>
      </c>
    </row>
    <row r="58" ht="12.75" spans="1:32">
      <c r="A58" s="26"/>
      <c r="B58" s="27" t="s">
        <v>132</v>
      </c>
      <c r="C58" s="28"/>
      <c r="D58" s="21"/>
      <c r="E58" s="116"/>
      <c r="F58" s="117"/>
      <c r="G58" s="30"/>
      <c r="H58" s="30"/>
      <c r="I58" s="25">
        <v>0.97</v>
      </c>
      <c r="J58" s="30"/>
      <c r="K58" s="136"/>
      <c r="L58" s="56"/>
      <c r="M58" s="56">
        <v>800</v>
      </c>
      <c r="N58" s="146">
        <v>24</v>
      </c>
      <c r="O58" s="144"/>
      <c r="P58" s="136">
        <v>1</v>
      </c>
      <c r="Q58" s="160">
        <f>W57*(1/I58-1)</f>
        <v>0</v>
      </c>
      <c r="R58" s="154"/>
      <c r="S58" s="71">
        <v>0.4</v>
      </c>
      <c r="T58" s="155">
        <f>IFERROR(N58*20/M58+O58*20/P58,"")</f>
        <v>0.6</v>
      </c>
      <c r="U58" s="154">
        <f t="shared" ref="U58" si="20">IFERROR(T58*0.25/0.75,"")</f>
        <v>0.2</v>
      </c>
      <c r="V58" s="156"/>
      <c r="W58" s="154">
        <f>V58+W57</f>
        <v>0</v>
      </c>
      <c r="X58" s="72"/>
      <c r="Y58" s="75"/>
      <c r="Z58" s="72"/>
      <c r="AA58" s="72"/>
      <c r="AB58" s="72"/>
      <c r="AC58" s="30">
        <f t="shared" si="4"/>
        <v>0</v>
      </c>
      <c r="AD58" s="91">
        <v>1</v>
      </c>
      <c r="AE58" s="72">
        <f t="shared" ref="AE58:AE66" si="21">(V58+Z58+AA58+AB58+AC58)*AD58</f>
        <v>0</v>
      </c>
      <c r="AF58" s="72">
        <f t="shared" si="7"/>
        <v>0</v>
      </c>
    </row>
    <row r="59" ht="12.75" spans="1:32">
      <c r="A59" s="26">
        <v>3.2</v>
      </c>
      <c r="B59" s="27" t="s">
        <v>133</v>
      </c>
      <c r="C59" s="28"/>
      <c r="D59" s="21"/>
      <c r="E59" s="116"/>
      <c r="F59" s="117"/>
      <c r="G59" s="30"/>
      <c r="H59" s="30"/>
      <c r="I59" s="25"/>
      <c r="J59" s="30"/>
      <c r="K59" s="54"/>
      <c r="L59" s="56"/>
      <c r="M59" s="56"/>
      <c r="N59" s="144"/>
      <c r="O59" s="144"/>
      <c r="P59" s="144"/>
      <c r="Q59" s="117"/>
      <c r="R59" s="30"/>
      <c r="S59" s="30"/>
      <c r="T59" s="69"/>
      <c r="U59" s="70"/>
      <c r="V59" s="162"/>
      <c r="W59" s="163"/>
      <c r="X59" s="72">
        <v>0.1327</v>
      </c>
      <c r="Y59" s="75">
        <v>0.03</v>
      </c>
      <c r="Z59" s="72">
        <f t="shared" si="19"/>
        <v>0.13680412371134</v>
      </c>
      <c r="AA59" s="72"/>
      <c r="AB59" s="72"/>
      <c r="AC59" s="30">
        <f t="shared" si="4"/>
        <v>0.0123123711340206</v>
      </c>
      <c r="AD59" s="91">
        <v>1</v>
      </c>
      <c r="AE59" s="72">
        <f t="shared" si="21"/>
        <v>0.149116494845361</v>
      </c>
      <c r="AF59" s="72">
        <f t="shared" si="7"/>
        <v>0.168501639175258</v>
      </c>
    </row>
    <row r="60" ht="12.75" spans="1:32">
      <c r="A60" s="26">
        <v>3.3</v>
      </c>
      <c r="B60" s="27" t="s">
        <v>134</v>
      </c>
      <c r="C60" s="28"/>
      <c r="D60" s="21"/>
      <c r="E60" s="116"/>
      <c r="F60" s="117"/>
      <c r="G60" s="30"/>
      <c r="H60" s="30"/>
      <c r="I60" s="25"/>
      <c r="J60" s="30"/>
      <c r="K60" s="54"/>
      <c r="L60" s="56"/>
      <c r="M60" s="56"/>
      <c r="N60" s="144"/>
      <c r="O60" s="144"/>
      <c r="P60" s="144"/>
      <c r="Q60" s="117"/>
      <c r="R60" s="30"/>
      <c r="S60" s="30"/>
      <c r="T60" s="69"/>
      <c r="U60" s="70"/>
      <c r="V60" s="162"/>
      <c r="W60" s="163"/>
      <c r="X60" s="72">
        <f>0.1/1.13</f>
        <v>0.088495575221239</v>
      </c>
      <c r="Y60" s="75">
        <v>0.03</v>
      </c>
      <c r="Z60" s="72">
        <f t="shared" si="19"/>
        <v>0.0912325517744731</v>
      </c>
      <c r="AA60" s="72"/>
      <c r="AB60" s="72"/>
      <c r="AC60" s="30">
        <f t="shared" si="4"/>
        <v>0.00821092965970258</v>
      </c>
      <c r="AD60" s="91">
        <v>1</v>
      </c>
      <c r="AE60" s="72">
        <f t="shared" si="21"/>
        <v>0.0994434814341757</v>
      </c>
      <c r="AF60" s="72">
        <f t="shared" si="7"/>
        <v>0.112371134020619</v>
      </c>
    </row>
    <row r="61" ht="12.75" spans="1:32">
      <c r="A61" s="26">
        <v>3.4</v>
      </c>
      <c r="B61" s="27" t="s">
        <v>135</v>
      </c>
      <c r="C61" s="28"/>
      <c r="D61" s="21"/>
      <c r="E61" s="116"/>
      <c r="F61" s="117"/>
      <c r="G61" s="30"/>
      <c r="H61" s="30"/>
      <c r="I61" s="25"/>
      <c r="J61" s="30"/>
      <c r="K61" s="54"/>
      <c r="L61" s="56"/>
      <c r="M61" s="56"/>
      <c r="N61" s="144"/>
      <c r="O61" s="144"/>
      <c r="P61" s="144"/>
      <c r="Q61" s="117"/>
      <c r="R61" s="30"/>
      <c r="S61" s="30"/>
      <c r="T61" s="69"/>
      <c r="U61" s="70"/>
      <c r="V61" s="162"/>
      <c r="W61" s="163"/>
      <c r="X61" s="164">
        <v>0.6726</v>
      </c>
      <c r="Y61" s="75">
        <v>0.03</v>
      </c>
      <c r="Z61" s="72">
        <f t="shared" si="19"/>
        <v>0.69340206185567</v>
      </c>
      <c r="AA61" s="72"/>
      <c r="AB61" s="72"/>
      <c r="AC61" s="30">
        <f t="shared" si="4"/>
        <v>0.0624061855670103</v>
      </c>
      <c r="AD61" s="91">
        <v>1</v>
      </c>
      <c r="AE61" s="72">
        <f t="shared" si="21"/>
        <v>0.75580824742268</v>
      </c>
      <c r="AF61" s="72">
        <f t="shared" si="7"/>
        <v>0.854063319587629</v>
      </c>
    </row>
    <row r="62" ht="12.75" spans="1:32">
      <c r="A62" s="26">
        <v>3.5</v>
      </c>
      <c r="B62" s="27" t="s">
        <v>136</v>
      </c>
      <c r="C62" s="28"/>
      <c r="D62" s="21"/>
      <c r="E62" s="116"/>
      <c r="F62" s="117"/>
      <c r="G62" s="30"/>
      <c r="H62" s="30"/>
      <c r="I62" s="25"/>
      <c r="J62" s="30"/>
      <c r="K62" s="54"/>
      <c r="L62" s="56"/>
      <c r="M62" s="56"/>
      <c r="N62" s="144"/>
      <c r="O62" s="144"/>
      <c r="P62" s="144"/>
      <c r="Q62" s="117"/>
      <c r="R62" s="30"/>
      <c r="S62" s="30"/>
      <c r="T62" s="69"/>
      <c r="U62" s="70"/>
      <c r="V62" s="162"/>
      <c r="W62" s="163"/>
      <c r="X62" s="168"/>
      <c r="Y62" s="75">
        <v>0.03</v>
      </c>
      <c r="Z62" s="72">
        <f t="shared" si="19"/>
        <v>0</v>
      </c>
      <c r="AA62" s="72"/>
      <c r="AB62" s="72"/>
      <c r="AC62" s="30">
        <f t="shared" si="4"/>
        <v>0</v>
      </c>
      <c r="AD62" s="91">
        <v>1</v>
      </c>
      <c r="AE62" s="72">
        <f t="shared" si="21"/>
        <v>0</v>
      </c>
      <c r="AF62" s="72">
        <f t="shared" si="7"/>
        <v>0</v>
      </c>
    </row>
    <row r="63" ht="12.75" spans="1:32">
      <c r="A63" s="26">
        <v>3.6</v>
      </c>
      <c r="B63" s="27" t="s">
        <v>137</v>
      </c>
      <c r="C63" s="28"/>
      <c r="D63" s="21"/>
      <c r="E63" s="116"/>
      <c r="F63" s="117"/>
      <c r="G63" s="30"/>
      <c r="H63" s="30"/>
      <c r="I63" s="25"/>
      <c r="J63" s="30"/>
      <c r="K63" s="54"/>
      <c r="L63" s="56"/>
      <c r="M63" s="56"/>
      <c r="N63" s="144"/>
      <c r="O63" s="144"/>
      <c r="P63" s="144"/>
      <c r="Q63" s="117"/>
      <c r="R63" s="30"/>
      <c r="S63" s="30"/>
      <c r="T63" s="69"/>
      <c r="U63" s="70"/>
      <c r="V63" s="162"/>
      <c r="W63" s="167"/>
      <c r="X63" s="168"/>
      <c r="Y63" s="75">
        <v>0.03</v>
      </c>
      <c r="Z63" s="72">
        <f t="shared" si="19"/>
        <v>0</v>
      </c>
      <c r="AA63" s="72"/>
      <c r="AB63" s="72"/>
      <c r="AC63" s="30">
        <f t="shared" si="4"/>
        <v>0</v>
      </c>
      <c r="AD63" s="91">
        <v>1</v>
      </c>
      <c r="AE63" s="72">
        <f t="shared" si="21"/>
        <v>0</v>
      </c>
      <c r="AF63" s="72">
        <f t="shared" si="7"/>
        <v>0</v>
      </c>
    </row>
    <row r="64" ht="12.75" spans="1:32">
      <c r="A64" s="26">
        <v>3.7</v>
      </c>
      <c r="B64" s="27" t="s">
        <v>138</v>
      </c>
      <c r="C64" s="28"/>
      <c r="D64" s="21"/>
      <c r="E64" s="116"/>
      <c r="F64" s="117"/>
      <c r="G64" s="30"/>
      <c r="H64" s="30"/>
      <c r="I64" s="25"/>
      <c r="J64" s="30"/>
      <c r="K64" s="54"/>
      <c r="L64" s="56"/>
      <c r="M64" s="56"/>
      <c r="N64" s="144"/>
      <c r="O64" s="144"/>
      <c r="P64" s="144"/>
      <c r="Q64" s="117"/>
      <c r="R64" s="30"/>
      <c r="S64" s="30"/>
      <c r="T64" s="69"/>
      <c r="U64" s="70"/>
      <c r="V64" s="162"/>
      <c r="W64" s="163"/>
      <c r="X64" s="165"/>
      <c r="Y64" s="75">
        <v>0.03</v>
      </c>
      <c r="Z64" s="72">
        <f t="shared" si="19"/>
        <v>0</v>
      </c>
      <c r="AA64" s="72"/>
      <c r="AB64" s="72"/>
      <c r="AC64" s="30">
        <f t="shared" si="4"/>
        <v>0</v>
      </c>
      <c r="AD64" s="91">
        <v>1</v>
      </c>
      <c r="AE64" s="72">
        <f t="shared" si="21"/>
        <v>0</v>
      </c>
      <c r="AF64" s="72">
        <f t="shared" si="7"/>
        <v>0</v>
      </c>
    </row>
    <row r="65" ht="12.75" spans="1:32">
      <c r="A65" s="26">
        <v>3.8</v>
      </c>
      <c r="B65" s="27" t="s">
        <v>139</v>
      </c>
      <c r="C65" s="28"/>
      <c r="D65" s="21"/>
      <c r="E65" s="116"/>
      <c r="F65" s="117"/>
      <c r="G65" s="30"/>
      <c r="H65" s="30"/>
      <c r="I65" s="25"/>
      <c r="J65" s="30"/>
      <c r="K65" s="54"/>
      <c r="L65" s="56"/>
      <c r="M65" s="56"/>
      <c r="N65" s="144"/>
      <c r="O65" s="144"/>
      <c r="P65" s="144"/>
      <c r="Q65" s="117"/>
      <c r="R65" s="30"/>
      <c r="S65" s="30"/>
      <c r="T65" s="69"/>
      <c r="U65" s="70"/>
      <c r="V65" s="162"/>
      <c r="W65" s="163"/>
      <c r="X65" s="72">
        <v>0.1115</v>
      </c>
      <c r="Y65" s="75">
        <v>0.03</v>
      </c>
      <c r="Z65" s="72">
        <f t="shared" si="19"/>
        <v>0.114948453608247</v>
      </c>
      <c r="AA65" s="72"/>
      <c r="AB65" s="72"/>
      <c r="AC65" s="30">
        <f t="shared" si="4"/>
        <v>0.0103453608247423</v>
      </c>
      <c r="AD65" s="91">
        <v>1</v>
      </c>
      <c r="AE65" s="72">
        <f t="shared" si="21"/>
        <v>0.12529381443299</v>
      </c>
      <c r="AF65" s="72">
        <f t="shared" si="7"/>
        <v>0.141582010309278</v>
      </c>
    </row>
    <row r="66" ht="12.75" spans="1:32">
      <c r="A66" s="26">
        <v>3.8</v>
      </c>
      <c r="B66" s="27" t="s">
        <v>140</v>
      </c>
      <c r="C66" s="28"/>
      <c r="D66" s="21"/>
      <c r="E66" s="116"/>
      <c r="F66" s="117"/>
      <c r="G66" s="30"/>
      <c r="H66" s="30"/>
      <c r="I66" s="25"/>
      <c r="J66" s="30"/>
      <c r="K66" s="54"/>
      <c r="L66" s="56"/>
      <c r="M66" s="56"/>
      <c r="N66" s="144"/>
      <c r="O66" s="144"/>
      <c r="P66" s="144"/>
      <c r="Q66" s="117"/>
      <c r="R66" s="30"/>
      <c r="S66" s="30"/>
      <c r="T66" s="69"/>
      <c r="U66" s="70"/>
      <c r="V66" s="162"/>
      <c r="W66" s="163"/>
      <c r="X66" s="72">
        <v>0.1115</v>
      </c>
      <c r="Y66" s="75">
        <v>0.03</v>
      </c>
      <c r="Z66" s="72">
        <f t="shared" si="19"/>
        <v>0.114948453608247</v>
      </c>
      <c r="AA66" s="72"/>
      <c r="AB66" s="72"/>
      <c r="AC66" s="30">
        <f t="shared" si="4"/>
        <v>0.0103453608247423</v>
      </c>
      <c r="AD66" s="91">
        <v>1</v>
      </c>
      <c r="AE66" s="72">
        <f t="shared" si="21"/>
        <v>0.12529381443299</v>
      </c>
      <c r="AF66" s="72">
        <f t="shared" si="7"/>
        <v>0.141582010309278</v>
      </c>
    </row>
    <row r="67" ht="12.75" spans="1:32">
      <c r="A67" s="110">
        <v>4</v>
      </c>
      <c r="B67" s="111" t="s">
        <v>13</v>
      </c>
      <c r="C67" s="111"/>
      <c r="D67" s="112"/>
      <c r="E67" s="113"/>
      <c r="F67" s="71"/>
      <c r="G67" s="71"/>
      <c r="H67" s="71"/>
      <c r="I67" s="132"/>
      <c r="J67" s="71"/>
      <c r="K67" s="133"/>
      <c r="L67" s="134"/>
      <c r="M67" s="134"/>
      <c r="N67" s="133"/>
      <c r="O67" s="133"/>
      <c r="P67" s="133"/>
      <c r="Q67" s="134"/>
      <c r="R67" s="71"/>
      <c r="S67" s="71"/>
      <c r="T67" s="151"/>
      <c r="U67" s="152"/>
      <c r="V67" s="87"/>
      <c r="W67" s="87"/>
      <c r="X67" s="153"/>
      <c r="Y67" s="173"/>
      <c r="Z67" s="153"/>
      <c r="AA67" s="153">
        <v>0.05</v>
      </c>
      <c r="AB67" s="153">
        <v>0.03</v>
      </c>
      <c r="AC67" s="87">
        <f t="shared" si="4"/>
        <v>0.0072</v>
      </c>
      <c r="AD67" s="174">
        <v>1</v>
      </c>
      <c r="AE67" s="175">
        <f>SUM(AE68:AE76)+AA67+AB67+AC67</f>
        <v>1.94400901608533</v>
      </c>
      <c r="AF67" s="175">
        <f t="shared" si="7"/>
        <v>2.19673018817642</v>
      </c>
    </row>
    <row r="68" s="3" customFormat="1" ht="17.25" customHeight="1" spans="1:32">
      <c r="A68" s="26">
        <v>4.1</v>
      </c>
      <c r="B68" s="114" t="s">
        <v>141</v>
      </c>
      <c r="C68" s="115">
        <v>127000</v>
      </c>
      <c r="D68" s="28">
        <v>8</v>
      </c>
      <c r="E68" s="116" t="s">
        <v>75</v>
      </c>
      <c r="F68" s="180">
        <f>26/1.13</f>
        <v>23.0088495575221</v>
      </c>
      <c r="G68" s="24">
        <v>1.8</v>
      </c>
      <c r="H68" s="24">
        <v>2.5</v>
      </c>
      <c r="I68" s="25">
        <v>0.99</v>
      </c>
      <c r="J68" s="30" t="s">
        <v>76</v>
      </c>
      <c r="K68" s="136">
        <v>44.6</v>
      </c>
      <c r="L68" s="24">
        <v>15</v>
      </c>
      <c r="M68" s="137">
        <f>IFERROR(3600/L68*D68,"")</f>
        <v>1920</v>
      </c>
      <c r="N68" s="54">
        <v>2</v>
      </c>
      <c r="O68" s="54"/>
      <c r="P68" s="136">
        <v>1</v>
      </c>
      <c r="Q68" s="137"/>
      <c r="R68" s="154">
        <f>(F68*(G68+H68))/I68/1000</f>
        <v>0.0999374273710557</v>
      </c>
      <c r="S68" s="154">
        <f>IFERROR(K68/M68/I68,"")</f>
        <v>0.0234638047138047</v>
      </c>
      <c r="T68" s="155">
        <f>IFERROR(N68*20/M68/I68+O68*20/P68/I68,"")</f>
        <v>0.021043771043771</v>
      </c>
      <c r="U68" s="154">
        <f>IFERROR(T68*0.35/0.65,"")</f>
        <v>0.0113312613312613</v>
      </c>
      <c r="V68" s="156">
        <f>SUM(Q68:U68)</f>
        <v>0.155776264459893</v>
      </c>
      <c r="W68" s="154">
        <f>V68</f>
        <v>0.155776264459893</v>
      </c>
      <c r="X68" s="30"/>
      <c r="Y68" s="30"/>
      <c r="Z68" s="30"/>
      <c r="AA68" s="30"/>
      <c r="AB68" s="30"/>
      <c r="AC68" s="30">
        <f t="shared" si="4"/>
        <v>0.0140198638013904</v>
      </c>
      <c r="AD68" s="91">
        <v>1</v>
      </c>
      <c r="AE68" s="30">
        <f>(V68+Z68+AA68+AB68+AC68)*AD68</f>
        <v>0.169796128261283</v>
      </c>
      <c r="AF68" s="30">
        <f t="shared" si="7"/>
        <v>0.19186962493525</v>
      </c>
    </row>
    <row r="69" s="3" customFormat="1" ht="12.75" spans="1:32">
      <c r="A69" s="26"/>
      <c r="B69" s="27" t="s">
        <v>142</v>
      </c>
      <c r="C69" s="28"/>
      <c r="D69" s="21"/>
      <c r="E69" s="116"/>
      <c r="F69" s="117"/>
      <c r="G69" s="30"/>
      <c r="H69" s="30"/>
      <c r="I69" s="25">
        <v>0.95</v>
      </c>
      <c r="J69" s="30"/>
      <c r="K69" s="136">
        <v>2050</v>
      </c>
      <c r="L69" s="56"/>
      <c r="M69" s="56">
        <v>50000</v>
      </c>
      <c r="N69" s="144">
        <v>99</v>
      </c>
      <c r="O69" s="144">
        <v>1</v>
      </c>
      <c r="P69" s="144">
        <v>250</v>
      </c>
      <c r="Q69" s="160">
        <f>W68*(1/I69-1)</f>
        <v>0.00819875076104698</v>
      </c>
      <c r="R69" s="30">
        <f>T114/I69</f>
        <v>0.386873684210526</v>
      </c>
      <c r="S69" s="154">
        <f t="shared" ref="S69" si="22">IFERROR(K69/M69/I69,"")</f>
        <v>0.0431578947368421</v>
      </c>
      <c r="T69" s="155">
        <f t="shared" ref="T69" si="23">IFERROR(N69*20/M69/I69+O69*20/P69/I69,"")</f>
        <v>0.125894736842105</v>
      </c>
      <c r="U69" s="154">
        <f t="shared" ref="U69:U70" si="24">IFERROR(T69*0.25/0.75,"")</f>
        <v>0.0419649122807018</v>
      </c>
      <c r="V69" s="156">
        <f t="shared" ref="V69:V70" si="25">SUM(Q69:U69)</f>
        <v>0.606089978831223</v>
      </c>
      <c r="W69" s="154">
        <f>V69+W68</f>
        <v>0.761866243291115</v>
      </c>
      <c r="X69" s="72"/>
      <c r="Y69" s="75"/>
      <c r="Z69" s="72"/>
      <c r="AA69" s="72"/>
      <c r="AB69" s="72"/>
      <c r="AC69" s="30">
        <f t="shared" si="4"/>
        <v>0.05454809809481</v>
      </c>
      <c r="AD69" s="91">
        <v>1</v>
      </c>
      <c r="AE69" s="72">
        <f t="shared" ref="AE69:AE76" si="26">(V69+Z69+AA69+AB69+AC69)*AD69</f>
        <v>0.660638076926032</v>
      </c>
      <c r="AF69" s="72">
        <f t="shared" si="7"/>
        <v>0.746521026926417</v>
      </c>
    </row>
    <row r="70" ht="12.75" spans="1:32">
      <c r="A70" s="26"/>
      <c r="B70" s="27" t="s">
        <v>143</v>
      </c>
      <c r="C70" s="28"/>
      <c r="D70" s="21"/>
      <c r="E70" s="116"/>
      <c r="F70" s="117"/>
      <c r="G70" s="30"/>
      <c r="H70" s="30"/>
      <c r="I70" s="25">
        <v>0.99</v>
      </c>
      <c r="J70" s="30"/>
      <c r="K70" s="136"/>
      <c r="L70" s="56"/>
      <c r="M70" s="56">
        <v>1100</v>
      </c>
      <c r="N70" s="146">
        <v>13</v>
      </c>
      <c r="O70" s="144"/>
      <c r="P70" s="136">
        <v>1</v>
      </c>
      <c r="Q70" s="160">
        <f>W69*(1/I70-1)</f>
        <v>0.00769561861910222</v>
      </c>
      <c r="R70" s="154"/>
      <c r="S70" s="30">
        <v>0.2</v>
      </c>
      <c r="T70" s="155">
        <f>IFERROR(N70*20/M70+O70*20/P70,"")</f>
        <v>0.236363636363636</v>
      </c>
      <c r="U70" s="154">
        <f t="shared" si="24"/>
        <v>0.0787878787878788</v>
      </c>
      <c r="V70" s="156">
        <f t="shared" si="25"/>
        <v>0.522847133770617</v>
      </c>
      <c r="W70" s="154">
        <f>V70+W69</f>
        <v>1.28471337706173</v>
      </c>
      <c r="X70" s="72"/>
      <c r="Y70" s="75"/>
      <c r="Z70" s="72"/>
      <c r="AA70" s="72"/>
      <c r="AB70" s="72"/>
      <c r="AC70" s="30">
        <f t="shared" si="4"/>
        <v>0.0470562420393556</v>
      </c>
      <c r="AD70" s="91">
        <v>1</v>
      </c>
      <c r="AE70" s="72">
        <f t="shared" si="26"/>
        <v>0.569903375809973</v>
      </c>
      <c r="AF70" s="72">
        <f t="shared" si="7"/>
        <v>0.643990814665269</v>
      </c>
    </row>
    <row r="71" ht="12.75" spans="1:32">
      <c r="A71" s="26">
        <v>4.2</v>
      </c>
      <c r="B71" s="27" t="s">
        <v>144</v>
      </c>
      <c r="C71" s="28">
        <v>50000</v>
      </c>
      <c r="D71" s="21"/>
      <c r="E71" s="116"/>
      <c r="F71" s="117"/>
      <c r="G71" s="30"/>
      <c r="H71" s="30"/>
      <c r="I71" s="25"/>
      <c r="J71" s="30"/>
      <c r="K71" s="54"/>
      <c r="L71" s="56"/>
      <c r="M71" s="56"/>
      <c r="N71" s="144"/>
      <c r="O71" s="144"/>
      <c r="P71" s="144"/>
      <c r="Q71" s="117"/>
      <c r="R71" s="30"/>
      <c r="S71" s="30"/>
      <c r="T71" s="69"/>
      <c r="U71" s="70"/>
      <c r="V71" s="162"/>
      <c r="W71" s="163"/>
      <c r="X71" s="72">
        <f>0.278/1.13</f>
        <v>0.246017699115044</v>
      </c>
      <c r="Y71" s="75">
        <v>0.03</v>
      </c>
      <c r="Z71" s="72">
        <f t="shared" ref="Z71:Z76" si="27">X71/(1-Y71)</f>
        <v>0.253626493933035</v>
      </c>
      <c r="AA71" s="72"/>
      <c r="AB71" s="72"/>
      <c r="AC71" s="30">
        <f t="shared" si="4"/>
        <v>0.0228263844539732</v>
      </c>
      <c r="AD71" s="91">
        <v>1</v>
      </c>
      <c r="AE71" s="72">
        <f t="shared" si="26"/>
        <v>0.276452878387009</v>
      </c>
      <c r="AF71" s="72">
        <f t="shared" si="7"/>
        <v>0.31239175257732</v>
      </c>
    </row>
    <row r="72" ht="12.75" spans="1:32">
      <c r="A72" s="26">
        <v>4.3</v>
      </c>
      <c r="B72" s="27" t="s">
        <v>145</v>
      </c>
      <c r="C72" s="28"/>
      <c r="D72" s="21"/>
      <c r="E72" s="116"/>
      <c r="F72" s="117"/>
      <c r="G72" s="30"/>
      <c r="H72" s="30"/>
      <c r="I72" s="25"/>
      <c r="J72" s="30"/>
      <c r="K72" s="54"/>
      <c r="L72" s="56"/>
      <c r="M72" s="56"/>
      <c r="N72" s="144"/>
      <c r="O72" s="144"/>
      <c r="P72" s="144"/>
      <c r="Q72" s="117"/>
      <c r="R72" s="30"/>
      <c r="S72" s="30"/>
      <c r="T72" s="69"/>
      <c r="U72" s="70"/>
      <c r="V72" s="162"/>
      <c r="W72" s="163"/>
      <c r="X72" s="72">
        <v>0.0088</v>
      </c>
      <c r="Y72" s="75">
        <v>0.03</v>
      </c>
      <c r="Z72" s="72">
        <f t="shared" si="27"/>
        <v>0.00907216494845361</v>
      </c>
      <c r="AA72" s="72"/>
      <c r="AB72" s="72"/>
      <c r="AC72" s="30">
        <f t="shared" si="4"/>
        <v>0.000816494845360825</v>
      </c>
      <c r="AD72" s="91">
        <v>1</v>
      </c>
      <c r="AE72" s="72">
        <f t="shared" si="26"/>
        <v>0.00988865979381444</v>
      </c>
      <c r="AF72" s="72">
        <f t="shared" si="7"/>
        <v>0.0111741855670103</v>
      </c>
    </row>
    <row r="73" ht="12.75" spans="1:32">
      <c r="A73" s="26">
        <v>4.4</v>
      </c>
      <c r="B73" s="27" t="s">
        <v>146</v>
      </c>
      <c r="C73" s="28"/>
      <c r="D73" s="21"/>
      <c r="E73" s="116"/>
      <c r="F73" s="117"/>
      <c r="G73" s="30"/>
      <c r="H73" s="30"/>
      <c r="I73" s="25"/>
      <c r="J73" s="30"/>
      <c r="K73" s="54"/>
      <c r="L73" s="56"/>
      <c r="M73" s="56"/>
      <c r="N73" s="144"/>
      <c r="O73" s="144"/>
      <c r="P73" s="144"/>
      <c r="Q73" s="117"/>
      <c r="R73" s="30"/>
      <c r="S73" s="30"/>
      <c r="T73" s="69"/>
      <c r="U73" s="70"/>
      <c r="V73" s="162"/>
      <c r="W73" s="163"/>
      <c r="X73" s="72">
        <v>0.0929</v>
      </c>
      <c r="Y73" s="75">
        <v>0.03</v>
      </c>
      <c r="Z73" s="72">
        <f t="shared" si="27"/>
        <v>0.0957731958762887</v>
      </c>
      <c r="AA73" s="72"/>
      <c r="AB73" s="72"/>
      <c r="AC73" s="30">
        <f t="shared" si="4"/>
        <v>0.00861958762886598</v>
      </c>
      <c r="AD73" s="91">
        <v>1</v>
      </c>
      <c r="AE73" s="72">
        <f t="shared" si="26"/>
        <v>0.104392783505155</v>
      </c>
      <c r="AF73" s="72">
        <f t="shared" si="7"/>
        <v>0.117963845360825</v>
      </c>
    </row>
    <row r="74" ht="12.75" spans="1:32">
      <c r="A74" s="26">
        <v>4.5</v>
      </c>
      <c r="B74" s="27" t="s">
        <v>147</v>
      </c>
      <c r="C74" s="28"/>
      <c r="D74" s="21"/>
      <c r="E74" s="116"/>
      <c r="F74" s="117"/>
      <c r="G74" s="30"/>
      <c r="H74" s="30"/>
      <c r="I74" s="25"/>
      <c r="J74" s="30"/>
      <c r="K74" s="54"/>
      <c r="L74" s="56"/>
      <c r="M74" s="56"/>
      <c r="N74" s="144"/>
      <c r="O74" s="144"/>
      <c r="P74" s="144"/>
      <c r="Q74" s="117"/>
      <c r="R74" s="30"/>
      <c r="S74" s="30"/>
      <c r="T74" s="69"/>
      <c r="U74" s="70"/>
      <c r="V74" s="162"/>
      <c r="W74" s="163"/>
      <c r="X74" s="72">
        <v>0.0195</v>
      </c>
      <c r="Y74" s="75">
        <v>0.03</v>
      </c>
      <c r="Z74" s="72">
        <f t="shared" si="27"/>
        <v>0.0201030927835052</v>
      </c>
      <c r="AA74" s="72"/>
      <c r="AB74" s="72"/>
      <c r="AC74" s="30">
        <f t="shared" si="4"/>
        <v>0.00180927835051546</v>
      </c>
      <c r="AD74" s="91">
        <v>1</v>
      </c>
      <c r="AE74" s="72">
        <f t="shared" si="26"/>
        <v>0.0219123711340206</v>
      </c>
      <c r="AF74" s="72">
        <f t="shared" si="7"/>
        <v>0.0247609793814433</v>
      </c>
    </row>
    <row r="75" ht="12.75" spans="1:32">
      <c r="A75" s="26">
        <v>4.6</v>
      </c>
      <c r="B75" s="27" t="s">
        <v>148</v>
      </c>
      <c r="C75" s="28"/>
      <c r="D75" s="21"/>
      <c r="E75" s="116"/>
      <c r="F75" s="117"/>
      <c r="G75" s="30"/>
      <c r="H75" s="30"/>
      <c r="I75" s="25"/>
      <c r="J75" s="30"/>
      <c r="K75" s="54"/>
      <c r="L75" s="56"/>
      <c r="M75" s="56"/>
      <c r="N75" s="144"/>
      <c r="O75" s="144"/>
      <c r="P75" s="144"/>
      <c r="Q75" s="117"/>
      <c r="R75" s="30"/>
      <c r="S75" s="30"/>
      <c r="T75" s="69"/>
      <c r="U75" s="70"/>
      <c r="V75" s="162"/>
      <c r="W75" s="163"/>
      <c r="X75" s="72">
        <v>0.0195</v>
      </c>
      <c r="Y75" s="75">
        <v>0.03</v>
      </c>
      <c r="Z75" s="72">
        <f t="shared" si="27"/>
        <v>0.0201030927835052</v>
      </c>
      <c r="AA75" s="72"/>
      <c r="AB75" s="72"/>
      <c r="AC75" s="30">
        <f t="shared" si="4"/>
        <v>0.00180927835051546</v>
      </c>
      <c r="AD75" s="91">
        <v>1</v>
      </c>
      <c r="AE75" s="72">
        <f t="shared" si="26"/>
        <v>0.0219123711340206</v>
      </c>
      <c r="AF75" s="72">
        <f t="shared" si="7"/>
        <v>0.0247609793814433</v>
      </c>
    </row>
    <row r="76" ht="12.75" spans="1:32">
      <c r="A76" s="26">
        <v>4.6</v>
      </c>
      <c r="B76" s="27" t="s">
        <v>149</v>
      </c>
      <c r="C76" s="28"/>
      <c r="D76" s="21"/>
      <c r="E76" s="116"/>
      <c r="F76" s="117"/>
      <c r="G76" s="30"/>
      <c r="H76" s="30"/>
      <c r="I76" s="25"/>
      <c r="J76" s="30"/>
      <c r="K76" s="54"/>
      <c r="L76" s="56"/>
      <c r="M76" s="56"/>
      <c r="N76" s="144"/>
      <c r="O76" s="144"/>
      <c r="P76" s="144"/>
      <c r="Q76" s="117"/>
      <c r="R76" s="30"/>
      <c r="S76" s="30"/>
      <c r="T76" s="69"/>
      <c r="U76" s="70"/>
      <c r="V76" s="162"/>
      <c r="W76" s="163"/>
      <c r="X76" s="72">
        <v>0.0195</v>
      </c>
      <c r="Y76" s="75">
        <v>0.03</v>
      </c>
      <c r="Z76" s="72">
        <f t="shared" si="27"/>
        <v>0.0201030927835052</v>
      </c>
      <c r="AA76" s="72"/>
      <c r="AB76" s="72"/>
      <c r="AC76" s="30">
        <f t="shared" si="4"/>
        <v>0.00180927835051546</v>
      </c>
      <c r="AD76" s="91">
        <v>1</v>
      </c>
      <c r="AE76" s="72">
        <f t="shared" si="26"/>
        <v>0.0219123711340206</v>
      </c>
      <c r="AF76" s="72">
        <f t="shared" si="7"/>
        <v>0.0247609793814433</v>
      </c>
    </row>
    <row r="77" ht="12.75" spans="1:32">
      <c r="A77" s="110">
        <v>5</v>
      </c>
      <c r="B77" s="111" t="s">
        <v>150</v>
      </c>
      <c r="C77" s="111"/>
      <c r="D77" s="112"/>
      <c r="E77" s="113"/>
      <c r="F77" s="71"/>
      <c r="G77" s="71"/>
      <c r="H77" s="71"/>
      <c r="I77" s="132"/>
      <c r="J77" s="71"/>
      <c r="K77" s="133"/>
      <c r="L77" s="134"/>
      <c r="M77" s="134"/>
      <c r="N77" s="133"/>
      <c r="O77" s="133"/>
      <c r="P77" s="133"/>
      <c r="Q77" s="134"/>
      <c r="R77" s="71"/>
      <c r="S77" s="71"/>
      <c r="T77" s="151"/>
      <c r="U77" s="152"/>
      <c r="V77" s="87"/>
      <c r="W77" s="87"/>
      <c r="X77" s="153"/>
      <c r="Y77" s="173"/>
      <c r="Z77" s="153"/>
      <c r="AA77" s="153">
        <v>0.01</v>
      </c>
      <c r="AB77" s="153">
        <v>0.01</v>
      </c>
      <c r="AC77" s="87">
        <f t="shared" si="4"/>
        <v>0.0018</v>
      </c>
      <c r="AD77" s="174">
        <v>1</v>
      </c>
      <c r="AE77" s="175">
        <f>SUM(AE78:AE78)+AA77+AB77+AC77</f>
        <v>0.0615999347031888</v>
      </c>
      <c r="AF77" s="175">
        <f t="shared" si="7"/>
        <v>0.0696079262146033</v>
      </c>
    </row>
    <row r="78" s="3" customFormat="1" ht="26.25" customHeight="1" spans="1:32">
      <c r="A78" s="26">
        <v>5.1</v>
      </c>
      <c r="B78" s="114" t="s">
        <v>151</v>
      </c>
      <c r="C78" s="28">
        <v>77000</v>
      </c>
      <c r="D78" s="28">
        <v>16</v>
      </c>
      <c r="E78" s="116" t="s">
        <v>152</v>
      </c>
      <c r="F78" s="117">
        <f>24.7/1.13</f>
        <v>21.858407079646</v>
      </c>
      <c r="G78" s="24">
        <v>0.1</v>
      </c>
      <c r="H78" s="24">
        <v>0.5</v>
      </c>
      <c r="I78" s="25">
        <v>0.99</v>
      </c>
      <c r="J78" s="30" t="s">
        <v>76</v>
      </c>
      <c r="K78" s="136">
        <v>44.6</v>
      </c>
      <c r="L78" s="24">
        <v>12.5</v>
      </c>
      <c r="M78" s="137">
        <f>IFERROR(3600/L78*D78,"")</f>
        <v>4608</v>
      </c>
      <c r="N78" s="54">
        <v>2</v>
      </c>
      <c r="O78" s="54"/>
      <c r="P78" s="136">
        <v>1</v>
      </c>
      <c r="Q78" s="137"/>
      <c r="R78" s="154">
        <f>(F78*(G78+H78))/I78/1000</f>
        <v>0.0132475194422097</v>
      </c>
      <c r="S78" s="154">
        <f>IFERROR(K78/M78/I78,"")</f>
        <v>0.00977658529741863</v>
      </c>
      <c r="T78" s="155">
        <f>IFERROR(N78*20/M78/I78+O78*20/P78/I78,"")</f>
        <v>0.0087682379349046</v>
      </c>
      <c r="U78" s="154">
        <f>IFERROR(T78*0.35/0.65,"")</f>
        <v>0.00472135888802555</v>
      </c>
      <c r="V78" s="156">
        <f>SUM(Q78:U78)</f>
        <v>0.0365137015625585</v>
      </c>
      <c r="W78" s="154">
        <f>V78</f>
        <v>0.0365137015625585</v>
      </c>
      <c r="X78" s="30"/>
      <c r="Y78" s="30"/>
      <c r="Z78" s="30"/>
      <c r="AA78" s="30"/>
      <c r="AB78" s="30"/>
      <c r="AC78" s="30">
        <f t="shared" ref="AC78:AC82" si="28">(V78+Z78+AA78+AB78)*0.09</f>
        <v>0.00328623314063026</v>
      </c>
      <c r="AD78" s="91">
        <v>1</v>
      </c>
      <c r="AE78" s="30">
        <f>(V78+Z78+AA78+AB78+AC78)*AD78</f>
        <v>0.0397999347031888</v>
      </c>
      <c r="AF78" s="30">
        <f t="shared" si="7"/>
        <v>0.0449739262146033</v>
      </c>
    </row>
    <row r="79" s="3" customFormat="1" ht="15.75" customHeight="1" spans="1:32">
      <c r="A79" s="181">
        <v>7</v>
      </c>
      <c r="B79" s="182" t="s">
        <v>153</v>
      </c>
      <c r="C79" s="115"/>
      <c r="D79" s="115"/>
      <c r="E79" s="183"/>
      <c r="F79" s="184"/>
      <c r="G79" s="185"/>
      <c r="H79" s="185"/>
      <c r="I79" s="132"/>
      <c r="J79" s="71"/>
      <c r="K79" s="133"/>
      <c r="L79" s="185"/>
      <c r="M79" s="185"/>
      <c r="N79" s="133"/>
      <c r="O79" s="133"/>
      <c r="P79" s="133"/>
      <c r="Q79" s="185"/>
      <c r="R79" s="71"/>
      <c r="S79" s="71"/>
      <c r="T79" s="221"/>
      <c r="U79" s="71"/>
      <c r="V79" s="71"/>
      <c r="W79" s="71"/>
      <c r="X79" s="71">
        <f>0.12/1.13</f>
        <v>0.106194690265487</v>
      </c>
      <c r="Y79" s="224">
        <v>0</v>
      </c>
      <c r="Z79" s="225">
        <f t="shared" ref="Z79:Z82" si="29">X79/(1-Y79)</f>
        <v>0.106194690265487</v>
      </c>
      <c r="AA79" s="71">
        <v>0.01</v>
      </c>
      <c r="AB79" s="71">
        <v>0.01</v>
      </c>
      <c r="AC79" s="71">
        <f t="shared" si="28"/>
        <v>0.0113575221238938</v>
      </c>
      <c r="AD79" s="226">
        <v>1</v>
      </c>
      <c r="AE79" s="17">
        <f t="shared" ref="AE79:AE82" si="30">(V79+Z79+AA79+AB79+AC79)*AD79</f>
        <v>0.137552212389381</v>
      </c>
      <c r="AF79" s="17">
        <f t="shared" ref="AF79:AF82" si="31">AE79*1.13</f>
        <v>0.155434</v>
      </c>
    </row>
    <row r="80" s="3" customFormat="1" ht="15.75" customHeight="1" spans="1:32">
      <c r="A80" s="181">
        <v>8</v>
      </c>
      <c r="B80" s="182" t="s">
        <v>154</v>
      </c>
      <c r="C80" s="115"/>
      <c r="D80" s="115"/>
      <c r="E80" s="183"/>
      <c r="F80" s="184"/>
      <c r="G80" s="185"/>
      <c r="H80" s="185"/>
      <c r="I80" s="132"/>
      <c r="J80" s="71"/>
      <c r="K80" s="133"/>
      <c r="L80" s="185"/>
      <c r="M80" s="185"/>
      <c r="N80" s="133"/>
      <c r="O80" s="133"/>
      <c r="P80" s="133"/>
      <c r="Q80" s="185"/>
      <c r="R80" s="71"/>
      <c r="S80" s="71"/>
      <c r="T80" s="221"/>
      <c r="U80" s="71"/>
      <c r="V80" s="71"/>
      <c r="W80" s="71"/>
      <c r="X80" s="71">
        <f>0.12/1.13</f>
        <v>0.106194690265487</v>
      </c>
      <c r="Y80" s="224">
        <v>0</v>
      </c>
      <c r="Z80" s="225">
        <f t="shared" si="29"/>
        <v>0.106194690265487</v>
      </c>
      <c r="AA80" s="71">
        <v>0.01</v>
      </c>
      <c r="AB80" s="71">
        <v>0.01</v>
      </c>
      <c r="AC80" s="71">
        <f t="shared" si="28"/>
        <v>0.0113575221238938</v>
      </c>
      <c r="AD80" s="226">
        <v>1</v>
      </c>
      <c r="AE80" s="17">
        <f t="shared" si="30"/>
        <v>0.137552212389381</v>
      </c>
      <c r="AF80" s="17">
        <f t="shared" si="31"/>
        <v>0.155434</v>
      </c>
    </row>
    <row r="81" s="3" customFormat="1" ht="15.75" customHeight="1" spans="1:32">
      <c r="A81" s="181">
        <v>9</v>
      </c>
      <c r="B81" s="182" t="s">
        <v>155</v>
      </c>
      <c r="C81" s="115"/>
      <c r="D81" s="115"/>
      <c r="E81" s="183"/>
      <c r="F81" s="184"/>
      <c r="G81" s="185"/>
      <c r="H81" s="185"/>
      <c r="I81" s="132"/>
      <c r="J81" s="71"/>
      <c r="K81" s="133"/>
      <c r="L81" s="185"/>
      <c r="M81" s="185"/>
      <c r="N81" s="133"/>
      <c r="O81" s="133"/>
      <c r="P81" s="133"/>
      <c r="Q81" s="185"/>
      <c r="R81" s="71"/>
      <c r="S81" s="71"/>
      <c r="T81" s="221"/>
      <c r="U81" s="71"/>
      <c r="V81" s="71"/>
      <c r="W81" s="71"/>
      <c r="X81" s="71">
        <f>0.08/1.13</f>
        <v>0.0707964601769912</v>
      </c>
      <c r="Y81" s="224">
        <v>0</v>
      </c>
      <c r="Z81" s="225">
        <f t="shared" si="29"/>
        <v>0.0707964601769912</v>
      </c>
      <c r="AA81" s="71">
        <v>0.01</v>
      </c>
      <c r="AB81" s="71">
        <v>0.01</v>
      </c>
      <c r="AC81" s="71">
        <f t="shared" si="28"/>
        <v>0.0081716814159292</v>
      </c>
      <c r="AD81" s="226">
        <v>1</v>
      </c>
      <c r="AE81" s="17">
        <f t="shared" si="30"/>
        <v>0.0989681415929204</v>
      </c>
      <c r="AF81" s="17">
        <f t="shared" si="31"/>
        <v>0.111834</v>
      </c>
    </row>
    <row r="82" s="3" customFormat="1" ht="15.75" customHeight="1" spans="1:32">
      <c r="A82" s="181">
        <v>10</v>
      </c>
      <c r="B82" s="182" t="s">
        <v>156</v>
      </c>
      <c r="C82" s="115"/>
      <c r="D82" s="115"/>
      <c r="E82" s="183"/>
      <c r="F82" s="184"/>
      <c r="G82" s="185"/>
      <c r="H82" s="185"/>
      <c r="I82" s="132"/>
      <c r="J82" s="71"/>
      <c r="K82" s="133"/>
      <c r="L82" s="185"/>
      <c r="M82" s="185"/>
      <c r="N82" s="133"/>
      <c r="O82" s="133"/>
      <c r="P82" s="133"/>
      <c r="Q82" s="185"/>
      <c r="R82" s="71"/>
      <c r="S82" s="71"/>
      <c r="T82" s="221"/>
      <c r="U82" s="71"/>
      <c r="V82" s="71"/>
      <c r="W82" s="71"/>
      <c r="X82" s="71">
        <f>0.08/1.13</f>
        <v>0.0707964601769912</v>
      </c>
      <c r="Y82" s="224">
        <v>0</v>
      </c>
      <c r="Z82" s="225">
        <f t="shared" si="29"/>
        <v>0.0707964601769912</v>
      </c>
      <c r="AA82" s="71">
        <v>0.01</v>
      </c>
      <c r="AB82" s="71">
        <v>0.01</v>
      </c>
      <c r="AC82" s="71">
        <f t="shared" si="28"/>
        <v>0.0081716814159292</v>
      </c>
      <c r="AD82" s="226">
        <v>1</v>
      </c>
      <c r="AE82" s="17">
        <f t="shared" si="30"/>
        <v>0.0989681415929204</v>
      </c>
      <c r="AF82" s="17">
        <f t="shared" si="31"/>
        <v>0.111834</v>
      </c>
    </row>
    <row r="83" s="3" customFormat="1" ht="20.25" customHeight="1" spans="1:34">
      <c r="A83" s="186" t="s">
        <v>157</v>
      </c>
      <c r="B83" s="187"/>
      <c r="C83" s="188">
        <f>SUM(C4:C78)</f>
        <v>622000</v>
      </c>
      <c r="D83" s="189"/>
      <c r="E83" s="190"/>
      <c r="F83" s="191"/>
      <c r="G83" s="192"/>
      <c r="H83" s="192"/>
      <c r="I83" s="211"/>
      <c r="J83" s="156"/>
      <c r="K83" s="212"/>
      <c r="L83" s="192"/>
      <c r="M83" s="192"/>
      <c r="N83" s="212"/>
      <c r="O83" s="212"/>
      <c r="P83" s="212"/>
      <c r="Q83" s="192">
        <f>SUM(Q4:Q78)</f>
        <v>0.493558324356991</v>
      </c>
      <c r="R83" s="192">
        <f>SUM(R4:R78)</f>
        <v>3.71244839089282</v>
      </c>
      <c r="S83" s="192">
        <f>SUM(S4:S78)</f>
        <v>2.58629414208879</v>
      </c>
      <c r="T83" s="222">
        <f>SUM(T4:T78)</f>
        <v>3.64556667766126</v>
      </c>
      <c r="U83" s="192"/>
      <c r="V83" s="192">
        <f>SUM(V4:V78)</f>
        <v>10.5231602486879</v>
      </c>
      <c r="W83" s="192"/>
      <c r="X83" s="192">
        <f>SUM(X4:X78)</f>
        <v>22.7137159292035</v>
      </c>
      <c r="Y83" s="192"/>
      <c r="Z83" s="192">
        <f>SUM(Z4:Z78)</f>
        <v>23.0749276877828</v>
      </c>
      <c r="AA83" s="192">
        <f>SUM(AA4:AA78)</f>
        <v>0.44</v>
      </c>
      <c r="AB83" s="192">
        <f>SUM(AB4:AB78)</f>
        <v>0.24</v>
      </c>
      <c r="AC83" s="192">
        <f>SUM(AC4:AC78)</f>
        <v>2.47670933021156</v>
      </c>
      <c r="AD83" s="227">
        <v>1</v>
      </c>
      <c r="AE83" s="228">
        <f>AE4+AE29+AE56+AE67+AE77+AE79+AE80+AE81+AE82</f>
        <v>37.7756472529973</v>
      </c>
      <c r="AF83" s="228">
        <f>AF4+AF29+AF56+AF67+AF77+AF79+AF80+AF81+AF82</f>
        <v>42.6864813958869</v>
      </c>
      <c r="AG83" s="3">
        <v>35.62</v>
      </c>
      <c r="AH83" s="101">
        <f>1-AF83/AG83</f>
        <v>-0.19838521605522</v>
      </c>
    </row>
    <row r="84" hidden="1" spans="2:2">
      <c r="B84" s="193" t="s">
        <v>158</v>
      </c>
    </row>
    <row r="85" s="3" customFormat="1" ht="24" hidden="1" customHeight="1" spans="1:32">
      <c r="A85" s="26">
        <v>2.1</v>
      </c>
      <c r="B85" s="114" t="s">
        <v>105</v>
      </c>
      <c r="C85" s="28">
        <v>125500</v>
      </c>
      <c r="D85" s="28">
        <v>1</v>
      </c>
      <c r="E85" s="116" t="s">
        <v>159</v>
      </c>
      <c r="F85" s="117">
        <f>24.5/1.13</f>
        <v>21.6814159292035</v>
      </c>
      <c r="G85" s="24">
        <v>8.8</v>
      </c>
      <c r="H85" s="185">
        <v>14.5</v>
      </c>
      <c r="I85" s="25">
        <v>0.97</v>
      </c>
      <c r="J85" s="30" t="s">
        <v>76</v>
      </c>
      <c r="K85" s="136">
        <v>44.6</v>
      </c>
      <c r="L85" s="185">
        <v>15</v>
      </c>
      <c r="M85" s="137">
        <f>IFERROR(3600/L85*D85,"")</f>
        <v>240</v>
      </c>
      <c r="N85" s="133">
        <v>2.5</v>
      </c>
      <c r="O85" s="54"/>
      <c r="P85" s="136">
        <v>1</v>
      </c>
      <c r="Q85" s="137"/>
      <c r="R85" s="154">
        <f>(F85*(G85+H85))/I85/1000</f>
        <v>0.52080102180458</v>
      </c>
      <c r="S85" s="154">
        <f>IFERROR(K85/M85/I85,"")</f>
        <v>0.191580756013746</v>
      </c>
      <c r="T85" s="155">
        <f>IFERROR(N85*20/M85/I85+O85*20/P85/I85,"")</f>
        <v>0.214776632302406</v>
      </c>
      <c r="U85" s="154">
        <f>IFERROR(T85*0.35/0.65,"")</f>
        <v>0.115648955855141</v>
      </c>
      <c r="V85" s="156">
        <f>SUM(Q85:U85)</f>
        <v>1.04280736597587</v>
      </c>
      <c r="W85" s="154">
        <f>V85</f>
        <v>1.04280736597587</v>
      </c>
      <c r="X85" s="30"/>
      <c r="Y85" s="30"/>
      <c r="Z85" s="30"/>
      <c r="AA85" s="30"/>
      <c r="AB85" s="30"/>
      <c r="AC85" s="30">
        <f>(V85+Z85+AA85+AB85)*0.09</f>
        <v>0.0938526629378285</v>
      </c>
      <c r="AD85" s="91">
        <v>1</v>
      </c>
      <c r="AE85" s="30">
        <f>(V85+Z85+AA85+AB85+AC85)*AD85</f>
        <v>1.1366600289137</v>
      </c>
      <c r="AF85" s="30">
        <f>AE85*1.13</f>
        <v>1.28442583267248</v>
      </c>
    </row>
    <row r="86" s="3" customFormat="1" ht="12.75" hidden="1" spans="1:32">
      <c r="A86" s="26"/>
      <c r="B86" s="27" t="s">
        <v>107</v>
      </c>
      <c r="C86" s="28"/>
      <c r="D86" s="21"/>
      <c r="E86" s="116"/>
      <c r="F86" s="117"/>
      <c r="G86" s="30"/>
      <c r="H86" s="30"/>
      <c r="I86" s="25">
        <v>0.98</v>
      </c>
      <c r="J86" s="30"/>
      <c r="K86" s="136">
        <v>8.3</v>
      </c>
      <c r="L86" s="56">
        <v>40</v>
      </c>
      <c r="M86" s="137">
        <f>IFERROR(3600/L86,"")</f>
        <v>90</v>
      </c>
      <c r="N86" s="144">
        <v>1.5</v>
      </c>
      <c r="O86" s="144"/>
      <c r="P86" s="136">
        <v>1</v>
      </c>
      <c r="Q86" s="160">
        <f>W85*(1/I86-1)</f>
        <v>0.0212817829790995</v>
      </c>
      <c r="R86" s="30">
        <v>0.25</v>
      </c>
      <c r="S86" s="154">
        <f t="shared" ref="S86:S88" si="32">IFERROR(K86/M86/I86,"")</f>
        <v>0.0941043083900227</v>
      </c>
      <c r="T86" s="155">
        <f t="shared" ref="T86:T88" si="33">IFERROR(N86*20/M86/I86+O86*20/P86/I86,"")</f>
        <v>0.340136054421769</v>
      </c>
      <c r="U86" s="154">
        <f>IFERROR(T86*0.25/0.75,"")</f>
        <v>0.113378684807256</v>
      </c>
      <c r="V86" s="156">
        <f t="shared" ref="V86:V89" si="34">SUM(Q86:U86)</f>
        <v>0.818900830598147</v>
      </c>
      <c r="W86" s="154">
        <f>W85+V86</f>
        <v>1.86170819657402</v>
      </c>
      <c r="X86" s="72"/>
      <c r="Y86" s="75"/>
      <c r="Z86" s="72"/>
      <c r="AA86" s="72"/>
      <c r="AB86" s="72"/>
      <c r="AC86" s="30">
        <f t="shared" ref="AC86:AC89" si="35">(V86+Z86+AA86+AB86)*0.09</f>
        <v>0.0737010747538332</v>
      </c>
      <c r="AD86" s="91">
        <v>1</v>
      </c>
      <c r="AE86" s="72">
        <f>(V86+Z86+AA86+AB86+AC86)*AD86</f>
        <v>0.89260190535198</v>
      </c>
      <c r="AF86" s="72">
        <f>AE86*1.13</f>
        <v>1.00864015304774</v>
      </c>
    </row>
    <row r="87" s="3" customFormat="1" ht="12.75" hidden="1" spans="1:32">
      <c r="A87" s="26"/>
      <c r="B87" s="125" t="s">
        <v>160</v>
      </c>
      <c r="C87" s="28"/>
      <c r="D87" s="21"/>
      <c r="E87" s="116"/>
      <c r="F87" s="117"/>
      <c r="G87" s="30"/>
      <c r="H87" s="30"/>
      <c r="I87" s="132">
        <v>0.88</v>
      </c>
      <c r="J87" s="30"/>
      <c r="K87" s="136">
        <v>2050</v>
      </c>
      <c r="L87" s="56"/>
      <c r="M87" s="56">
        <v>6000</v>
      </c>
      <c r="N87" s="144">
        <v>60</v>
      </c>
      <c r="O87" s="144">
        <v>1</v>
      </c>
      <c r="P87" s="144">
        <v>150</v>
      </c>
      <c r="Q87" s="160">
        <f>W86*(1/I87-1)</f>
        <v>0.253869299532821</v>
      </c>
      <c r="R87" s="30" t="e">
        <f>#REF!/I87</f>
        <v>#REF!</v>
      </c>
      <c r="S87" s="154">
        <f t="shared" si="32"/>
        <v>0.388257575757576</v>
      </c>
      <c r="T87" s="155">
        <f t="shared" si="33"/>
        <v>0.378787878787879</v>
      </c>
      <c r="U87" s="154">
        <f t="shared" ref="U87:U89" si="36">IFERROR(T87*0.25/0.75,"")</f>
        <v>0.126262626262626</v>
      </c>
      <c r="V87" s="156" t="e">
        <f t="shared" si="34"/>
        <v>#REF!</v>
      </c>
      <c r="W87" s="154" t="e">
        <f>V87+W86</f>
        <v>#REF!</v>
      </c>
      <c r="X87" s="72"/>
      <c r="Y87" s="75"/>
      <c r="Z87" s="72"/>
      <c r="AA87" s="72"/>
      <c r="AB87" s="72"/>
      <c r="AC87" s="30" t="e">
        <f t="shared" si="35"/>
        <v>#REF!</v>
      </c>
      <c r="AD87" s="91">
        <v>1</v>
      </c>
      <c r="AE87" s="72" t="e">
        <f t="shared" ref="AE87:AE89" si="37">(V87+Z87+AA87+AB87+AC87)*AD87</f>
        <v>#REF!</v>
      </c>
      <c r="AF87" s="72" t="e">
        <f t="shared" ref="AF87:AF89" si="38">AE87*1.13</f>
        <v>#REF!</v>
      </c>
    </row>
    <row r="88" s="3" customFormat="1" ht="12.75" hidden="1" spans="1:32">
      <c r="A88" s="26"/>
      <c r="B88" s="126" t="s">
        <v>109</v>
      </c>
      <c r="C88" s="28"/>
      <c r="D88" s="21"/>
      <c r="E88" s="116"/>
      <c r="F88" s="117"/>
      <c r="G88" s="30"/>
      <c r="H88" s="30"/>
      <c r="I88" s="25">
        <v>0.95</v>
      </c>
      <c r="J88" s="30"/>
      <c r="K88" s="136">
        <v>20</v>
      </c>
      <c r="L88" s="56"/>
      <c r="M88" s="137" t="str">
        <f>IFERROR(3600/L88,"")</f>
        <v/>
      </c>
      <c r="N88" s="144"/>
      <c r="O88" s="144"/>
      <c r="P88" s="145">
        <v>1</v>
      </c>
      <c r="Q88" s="160" t="e">
        <f>W87*(1/I88-1)</f>
        <v>#REF!</v>
      </c>
      <c r="R88" s="30"/>
      <c r="S88" s="154" t="str">
        <f t="shared" si="32"/>
        <v/>
      </c>
      <c r="T88" s="155" t="str">
        <f t="shared" si="33"/>
        <v/>
      </c>
      <c r="U88" s="154" t="str">
        <f t="shared" si="36"/>
        <v/>
      </c>
      <c r="V88" s="156" t="e">
        <f t="shared" si="34"/>
        <v>#REF!</v>
      </c>
      <c r="W88" s="154" t="e">
        <f>W87+V88+Z88</f>
        <v>#REF!</v>
      </c>
      <c r="X88" s="223"/>
      <c r="Y88" s="75">
        <v>0</v>
      </c>
      <c r="Z88" s="72">
        <f>X88/(1-Y88)</f>
        <v>0</v>
      </c>
      <c r="AA88" s="72"/>
      <c r="AB88" s="72"/>
      <c r="AC88" s="30" t="e">
        <f t="shared" si="35"/>
        <v>#REF!</v>
      </c>
      <c r="AD88" s="91">
        <v>1</v>
      </c>
      <c r="AE88" s="72" t="e">
        <f t="shared" si="37"/>
        <v>#REF!</v>
      </c>
      <c r="AF88" s="72" t="e">
        <f t="shared" si="38"/>
        <v>#REF!</v>
      </c>
    </row>
    <row r="89" ht="12.75" hidden="1" spans="1:32">
      <c r="A89" s="26"/>
      <c r="B89" s="27" t="s">
        <v>110</v>
      </c>
      <c r="C89" s="28"/>
      <c r="D89" s="21"/>
      <c r="E89" s="116"/>
      <c r="F89" s="117"/>
      <c r="G89" s="30"/>
      <c r="H89" s="30"/>
      <c r="I89" s="25">
        <v>0.985</v>
      </c>
      <c r="J89" s="30"/>
      <c r="K89" s="136"/>
      <c r="L89" s="56"/>
      <c r="M89" s="56">
        <v>850</v>
      </c>
      <c r="N89" s="146">
        <f>62-16</f>
        <v>46</v>
      </c>
      <c r="O89" s="144"/>
      <c r="P89" s="136">
        <v>1</v>
      </c>
      <c r="Q89" s="160" t="e">
        <f>W88*(1/I89-1)</f>
        <v>#REF!</v>
      </c>
      <c r="R89" s="154"/>
      <c r="S89" s="30">
        <v>0.6</v>
      </c>
      <c r="T89" s="155">
        <f>IFERROR(N89*20/M89+O89*20/P89,"")</f>
        <v>1.08235294117647</v>
      </c>
      <c r="U89" s="154">
        <f t="shared" si="36"/>
        <v>0.36078431372549</v>
      </c>
      <c r="V89" s="156" t="e">
        <f t="shared" si="34"/>
        <v>#REF!</v>
      </c>
      <c r="W89" s="154" t="e">
        <f>V89+W88</f>
        <v>#REF!</v>
      </c>
      <c r="X89" s="72"/>
      <c r="Y89" s="75"/>
      <c r="Z89" s="72"/>
      <c r="AA89" s="72"/>
      <c r="AB89" s="72"/>
      <c r="AC89" s="30" t="e">
        <f t="shared" si="35"/>
        <v>#REF!</v>
      </c>
      <c r="AD89" s="91">
        <v>1</v>
      </c>
      <c r="AE89" s="72" t="e">
        <f t="shared" si="37"/>
        <v>#REF!</v>
      </c>
      <c r="AF89" s="72" t="e">
        <f t="shared" si="38"/>
        <v>#REF!</v>
      </c>
    </row>
    <row r="90" hidden="1"/>
    <row r="91" hidden="1"/>
    <row r="92" s="3" customFormat="1" ht="24" hidden="1" customHeight="1" spans="1:32">
      <c r="A92" s="26">
        <v>2.1</v>
      </c>
      <c r="B92" s="114" t="s">
        <v>105</v>
      </c>
      <c r="C92" s="28">
        <v>125500</v>
      </c>
      <c r="D92" s="28">
        <v>1</v>
      </c>
      <c r="E92" s="116" t="s">
        <v>159</v>
      </c>
      <c r="F92" s="117">
        <f>24.5/1.13</f>
        <v>21.6814159292035</v>
      </c>
      <c r="G92" s="24">
        <v>8.8</v>
      </c>
      <c r="H92" s="185">
        <v>14.5</v>
      </c>
      <c r="I92" s="25">
        <v>0.97</v>
      </c>
      <c r="J92" s="30" t="s">
        <v>76</v>
      </c>
      <c r="K92" s="136">
        <v>44.6</v>
      </c>
      <c r="L92" s="185">
        <v>15</v>
      </c>
      <c r="M92" s="137">
        <f>IFERROR(3600/L92*D92,"")</f>
        <v>240</v>
      </c>
      <c r="N92" s="133">
        <v>2.5</v>
      </c>
      <c r="O92" s="54"/>
      <c r="P92" s="136">
        <v>1</v>
      </c>
      <c r="Q92" s="137"/>
      <c r="R92" s="154">
        <f>(F92*(G92+H92))/I92/1000</f>
        <v>0.52080102180458</v>
      </c>
      <c r="S92" s="154">
        <f>IFERROR(K92/M92/I92,"")</f>
        <v>0.191580756013746</v>
      </c>
      <c r="T92" s="155">
        <f>IFERROR(N92*20/M92/I92+O92*20/P92/I92,"")</f>
        <v>0.214776632302406</v>
      </c>
      <c r="U92" s="154">
        <f>IFERROR(T92*0.35/0.65,"")</f>
        <v>0.115648955855141</v>
      </c>
      <c r="V92" s="156">
        <f>SUM(Q92:U92)</f>
        <v>1.04280736597587</v>
      </c>
      <c r="W92" s="154">
        <f>V92</f>
        <v>1.04280736597587</v>
      </c>
      <c r="X92" s="30"/>
      <c r="Y92" s="30"/>
      <c r="Z92" s="30"/>
      <c r="AA92" s="30"/>
      <c r="AB92" s="30"/>
      <c r="AC92" s="30">
        <f>(V92+Z92+AA92+AB92)*0.09</f>
        <v>0.0938526629378285</v>
      </c>
      <c r="AD92" s="91">
        <v>1</v>
      </c>
      <c r="AE92" s="30">
        <f>(V92+Z92+AA92+AB92+AC92)*AD92</f>
        <v>1.1366600289137</v>
      </c>
      <c r="AF92" s="30">
        <f>AE92*1.13</f>
        <v>1.28442583267248</v>
      </c>
    </row>
    <row r="93" s="3" customFormat="1" ht="12.75" hidden="1" spans="1:32">
      <c r="A93" s="26"/>
      <c r="B93" s="27" t="s">
        <v>107</v>
      </c>
      <c r="C93" s="28"/>
      <c r="D93" s="21"/>
      <c r="E93" s="116"/>
      <c r="F93" s="117"/>
      <c r="G93" s="30"/>
      <c r="H93" s="30"/>
      <c r="I93" s="25">
        <v>0.98</v>
      </c>
      <c r="J93" s="30"/>
      <c r="K93" s="136">
        <v>8.3</v>
      </c>
      <c r="L93" s="56">
        <v>40</v>
      </c>
      <c r="M93" s="137">
        <f>IFERROR(3600/L93,"")</f>
        <v>90</v>
      </c>
      <c r="N93" s="144">
        <v>1.5</v>
      </c>
      <c r="O93" s="144"/>
      <c r="P93" s="136">
        <v>1</v>
      </c>
      <c r="Q93" s="160">
        <f>W92*(1/I93-1)</f>
        <v>0.0212817829790995</v>
      </c>
      <c r="R93" s="30">
        <v>0.25</v>
      </c>
      <c r="S93" s="154">
        <f t="shared" ref="S93:S96" si="39">IFERROR(K93/M93/I93,"")</f>
        <v>0.0941043083900227</v>
      </c>
      <c r="T93" s="155">
        <f t="shared" ref="T93:T96" si="40">IFERROR(N93*20/M93/I93+O93*20/P93/I93,"")</f>
        <v>0.340136054421769</v>
      </c>
      <c r="U93" s="154">
        <f>IFERROR(T93*0.25/0.75,"")</f>
        <v>0.113378684807256</v>
      </c>
      <c r="V93" s="156">
        <f t="shared" ref="V93:V97" si="41">SUM(Q93:U93)</f>
        <v>0.818900830598147</v>
      </c>
      <c r="W93" s="154">
        <f>W92+V93</f>
        <v>1.86170819657402</v>
      </c>
      <c r="X93" s="72"/>
      <c r="Y93" s="75"/>
      <c r="Z93" s="72"/>
      <c r="AA93" s="72"/>
      <c r="AB93" s="72"/>
      <c r="AC93" s="30">
        <f t="shared" ref="AC93:AC97" si="42">(V93+Z93+AA93+AB93)*0.09</f>
        <v>0.0737010747538332</v>
      </c>
      <c r="AD93" s="91">
        <v>1</v>
      </c>
      <c r="AE93" s="72">
        <f>(V93+Z93+AA93+AB93+AC93)*AD93</f>
        <v>0.89260190535198</v>
      </c>
      <c r="AF93" s="72">
        <f>AE93*1.13</f>
        <v>1.00864015304774</v>
      </c>
    </row>
    <row r="94" s="3" customFormat="1" ht="12.75" hidden="1" spans="1:32">
      <c r="A94" s="26"/>
      <c r="B94" s="125" t="s">
        <v>161</v>
      </c>
      <c r="C94" s="28"/>
      <c r="D94" s="21"/>
      <c r="E94" s="116"/>
      <c r="F94" s="117"/>
      <c r="G94" s="30"/>
      <c r="H94" s="30"/>
      <c r="I94" s="132">
        <v>0.9</v>
      </c>
      <c r="J94" s="30"/>
      <c r="K94" s="136">
        <v>2050</v>
      </c>
      <c r="L94" s="56"/>
      <c r="M94" s="56">
        <v>6000</v>
      </c>
      <c r="N94" s="144">
        <v>60</v>
      </c>
      <c r="O94" s="144"/>
      <c r="P94" s="144">
        <v>150</v>
      </c>
      <c r="Q94" s="160">
        <f>W93*(1/I94-1)</f>
        <v>0.206856466286002</v>
      </c>
      <c r="R94" s="30" t="e">
        <f>#REF!/I94</f>
        <v>#REF!</v>
      </c>
      <c r="S94" s="154">
        <f t="shared" si="39"/>
        <v>0.37962962962963</v>
      </c>
      <c r="T94" s="155">
        <f t="shared" si="40"/>
        <v>0.222222222222222</v>
      </c>
      <c r="U94" s="154">
        <f t="shared" ref="U94:U97" si="43">IFERROR(T94*0.25/0.75,"")</f>
        <v>0.0740740740740741</v>
      </c>
      <c r="V94" s="156" t="e">
        <f t="shared" si="41"/>
        <v>#REF!</v>
      </c>
      <c r="W94" s="154" t="e">
        <f>V94+W93</f>
        <v>#REF!</v>
      </c>
      <c r="X94" s="72"/>
      <c r="Y94" s="75"/>
      <c r="Z94" s="72"/>
      <c r="AA94" s="72"/>
      <c r="AB94" s="72"/>
      <c r="AC94" s="30" t="e">
        <f t="shared" si="42"/>
        <v>#REF!</v>
      </c>
      <c r="AD94" s="91">
        <v>1</v>
      </c>
      <c r="AE94" s="72" t="e">
        <f t="shared" ref="AE94:AE97" si="44">(V94+Z94+AA94+AB94+AC94)*AD94</f>
        <v>#REF!</v>
      </c>
      <c r="AF94" s="72" t="e">
        <f t="shared" ref="AF94:AF98" si="45">AE94*1.13</f>
        <v>#REF!</v>
      </c>
    </row>
    <row r="95" s="3" customFormat="1" ht="12.75" hidden="1" spans="1:32">
      <c r="A95" s="26"/>
      <c r="B95" s="125" t="s">
        <v>162</v>
      </c>
      <c r="C95" s="28"/>
      <c r="D95" s="21"/>
      <c r="E95" s="116"/>
      <c r="F95" s="117"/>
      <c r="G95" s="30"/>
      <c r="H95" s="30"/>
      <c r="I95" s="132">
        <v>0.88</v>
      </c>
      <c r="J95" s="30"/>
      <c r="K95" s="136">
        <v>2050</v>
      </c>
      <c r="L95" s="56"/>
      <c r="M95" s="56">
        <v>6000</v>
      </c>
      <c r="N95" s="144">
        <v>60</v>
      </c>
      <c r="O95" s="144">
        <v>1</v>
      </c>
      <c r="P95" s="144">
        <v>150</v>
      </c>
      <c r="Q95" s="160" t="e">
        <f>W94*(1/I95-1)</f>
        <v>#REF!</v>
      </c>
      <c r="R95" s="30" t="e">
        <f>#REF!/I95</f>
        <v>#REF!</v>
      </c>
      <c r="S95" s="154">
        <f t="shared" si="39"/>
        <v>0.388257575757576</v>
      </c>
      <c r="T95" s="155">
        <f t="shared" si="40"/>
        <v>0.378787878787879</v>
      </c>
      <c r="U95" s="154">
        <f t="shared" si="43"/>
        <v>0.126262626262626</v>
      </c>
      <c r="V95" s="156" t="e">
        <f t="shared" si="41"/>
        <v>#REF!</v>
      </c>
      <c r="W95" s="154" t="e">
        <f>V95+W94</f>
        <v>#REF!</v>
      </c>
      <c r="X95" s="72"/>
      <c r="Y95" s="75"/>
      <c r="Z95" s="72"/>
      <c r="AA95" s="72"/>
      <c r="AB95" s="72"/>
      <c r="AC95" s="30" t="e">
        <f t="shared" si="42"/>
        <v>#REF!</v>
      </c>
      <c r="AD95" s="91">
        <v>1</v>
      </c>
      <c r="AE95" s="72" t="e">
        <f t="shared" si="44"/>
        <v>#REF!</v>
      </c>
      <c r="AF95" s="72" t="e">
        <f t="shared" si="45"/>
        <v>#REF!</v>
      </c>
    </row>
    <row r="96" s="3" customFormat="1" ht="12.75" hidden="1" spans="1:32">
      <c r="A96" s="26"/>
      <c r="B96" s="126" t="s">
        <v>109</v>
      </c>
      <c r="C96" s="28"/>
      <c r="D96" s="21"/>
      <c r="E96" s="116"/>
      <c r="F96" s="117"/>
      <c r="G96" s="30"/>
      <c r="H96" s="30"/>
      <c r="I96" s="25">
        <v>0.95</v>
      </c>
      <c r="J96" s="30"/>
      <c r="K96" s="136">
        <v>20</v>
      </c>
      <c r="L96" s="56"/>
      <c r="M96" s="137" t="str">
        <f>IFERROR(3600/L96,"")</f>
        <v/>
      </c>
      <c r="N96" s="144"/>
      <c r="O96" s="144"/>
      <c r="P96" s="145">
        <v>1</v>
      </c>
      <c r="Q96" s="160" t="e">
        <f>W95*(1/I96-1)</f>
        <v>#REF!</v>
      </c>
      <c r="R96" s="30"/>
      <c r="S96" s="154" t="str">
        <f t="shared" si="39"/>
        <v/>
      </c>
      <c r="T96" s="155" t="str">
        <f t="shared" si="40"/>
        <v/>
      </c>
      <c r="U96" s="154" t="str">
        <f t="shared" si="43"/>
        <v/>
      </c>
      <c r="V96" s="156" t="e">
        <f t="shared" si="41"/>
        <v>#REF!</v>
      </c>
      <c r="W96" s="154" t="e">
        <f>W95+V96+Z96</f>
        <v>#REF!</v>
      </c>
      <c r="X96" s="223"/>
      <c r="Y96" s="75">
        <v>0</v>
      </c>
      <c r="Z96" s="72">
        <f>X96/(1-Y96)</f>
        <v>0</v>
      </c>
      <c r="AA96" s="72"/>
      <c r="AB96" s="72"/>
      <c r="AC96" s="30" t="e">
        <f t="shared" si="42"/>
        <v>#REF!</v>
      </c>
      <c r="AD96" s="91">
        <v>1</v>
      </c>
      <c r="AE96" s="72" t="e">
        <f t="shared" si="44"/>
        <v>#REF!</v>
      </c>
      <c r="AF96" s="72" t="e">
        <f t="shared" si="45"/>
        <v>#REF!</v>
      </c>
    </row>
    <row r="97" ht="12.75" hidden="1" spans="1:32">
      <c r="A97" s="26"/>
      <c r="B97" s="27" t="s">
        <v>110</v>
      </c>
      <c r="C97" s="28"/>
      <c r="D97" s="21"/>
      <c r="E97" s="116"/>
      <c r="F97" s="117"/>
      <c r="G97" s="30"/>
      <c r="H97" s="30"/>
      <c r="I97" s="25">
        <v>0.985</v>
      </c>
      <c r="J97" s="30"/>
      <c r="K97" s="136"/>
      <c r="L97" s="56"/>
      <c r="M97" s="56">
        <v>850</v>
      </c>
      <c r="N97" s="146">
        <f>62-16</f>
        <v>46</v>
      </c>
      <c r="O97" s="144"/>
      <c r="P97" s="136">
        <v>1</v>
      </c>
      <c r="Q97" s="160" t="e">
        <f>W96*(1/I97-1)</f>
        <v>#REF!</v>
      </c>
      <c r="R97" s="154"/>
      <c r="S97" s="30">
        <v>0.6</v>
      </c>
      <c r="T97" s="155">
        <f>IFERROR(N97*20/M97+O97*20/P97,"")</f>
        <v>1.08235294117647</v>
      </c>
      <c r="U97" s="154">
        <f t="shared" si="43"/>
        <v>0.36078431372549</v>
      </c>
      <c r="V97" s="156" t="e">
        <f t="shared" si="41"/>
        <v>#REF!</v>
      </c>
      <c r="W97" s="154" t="e">
        <f>V97+W96</f>
        <v>#REF!</v>
      </c>
      <c r="X97" s="72"/>
      <c r="Y97" s="75"/>
      <c r="Z97" s="72"/>
      <c r="AA97" s="72"/>
      <c r="AB97" s="72"/>
      <c r="AC97" s="30" t="e">
        <f t="shared" si="42"/>
        <v>#REF!</v>
      </c>
      <c r="AD97" s="91">
        <v>1</v>
      </c>
      <c r="AE97" s="72" t="e">
        <f t="shared" si="44"/>
        <v>#REF!</v>
      </c>
      <c r="AF97" s="72" t="e">
        <f t="shared" si="45"/>
        <v>#REF!</v>
      </c>
    </row>
    <row r="98" ht="15.75" customHeight="1" spans="29:32">
      <c r="AC98" s="102"/>
      <c r="AD98" s="229" t="s">
        <v>163</v>
      </c>
      <c r="AE98" s="230">
        <f>AE83-AE56</f>
        <v>27.6566206039689</v>
      </c>
      <c r="AF98" s="230">
        <f t="shared" si="45"/>
        <v>31.2519812824849</v>
      </c>
    </row>
    <row r="101" spans="10:16">
      <c r="J101" s="103"/>
      <c r="L101" s="103"/>
      <c r="M101" s="3"/>
      <c r="N101" s="104"/>
      <c r="O101" s="104"/>
      <c r="P101" s="104"/>
    </row>
    <row r="102" spans="5:17">
      <c r="E102" s="194" t="s">
        <v>164</v>
      </c>
      <c r="K102" s="194" t="s">
        <v>165</v>
      </c>
      <c r="N102" s="104"/>
      <c r="Q102" s="194" t="s">
        <v>166</v>
      </c>
    </row>
    <row r="103" spans="5:20">
      <c r="E103" s="195" t="s">
        <v>167</v>
      </c>
      <c r="F103" s="195" t="s">
        <v>168</v>
      </c>
      <c r="G103" s="195" t="s">
        <v>169</v>
      </c>
      <c r="H103" s="195" t="s">
        <v>170</v>
      </c>
      <c r="K103" s="195" t="s">
        <v>167</v>
      </c>
      <c r="L103" s="195" t="s">
        <v>168</v>
      </c>
      <c r="M103" s="195" t="s">
        <v>169</v>
      </c>
      <c r="N103" s="195" t="s">
        <v>170</v>
      </c>
      <c r="Q103" s="195" t="s">
        <v>167</v>
      </c>
      <c r="R103" s="195" t="s">
        <v>168</v>
      </c>
      <c r="S103" s="195" t="s">
        <v>169</v>
      </c>
      <c r="T103" s="195" t="s">
        <v>170</v>
      </c>
    </row>
    <row r="104" spans="5:20">
      <c r="E104" s="196" t="s">
        <v>171</v>
      </c>
      <c r="F104" s="195">
        <v>3.5</v>
      </c>
      <c r="G104" s="195">
        <f>95/1.13</f>
        <v>84.070796460177</v>
      </c>
      <c r="H104" s="197">
        <f>F104*G104/1000</f>
        <v>0.294247787610619</v>
      </c>
      <c r="K104" s="196" t="s">
        <v>171</v>
      </c>
      <c r="L104" s="195">
        <v>3.5</v>
      </c>
      <c r="M104" s="195">
        <v>62</v>
      </c>
      <c r="N104" s="197">
        <f>L104*M104/1000</f>
        <v>0.217</v>
      </c>
      <c r="Q104" s="196" t="s">
        <v>171</v>
      </c>
      <c r="R104" s="195">
        <v>0.55</v>
      </c>
      <c r="S104" s="195">
        <v>62</v>
      </c>
      <c r="T104" s="197">
        <f>R104*S104/1000</f>
        <v>0.0341</v>
      </c>
    </row>
    <row r="105" spans="5:20">
      <c r="E105" s="196" t="s">
        <v>172</v>
      </c>
      <c r="F105" s="195">
        <v>7</v>
      </c>
      <c r="G105" s="195">
        <v>18.5</v>
      </c>
      <c r="H105" s="197">
        <f t="shared" ref="H105:H112" si="46">F105*G105/1000</f>
        <v>0.1295</v>
      </c>
      <c r="K105" s="196" t="s">
        <v>172</v>
      </c>
      <c r="L105" s="195">
        <v>7</v>
      </c>
      <c r="M105" s="195">
        <v>18.5</v>
      </c>
      <c r="N105" s="197">
        <f t="shared" ref="N105:N112" si="47">L105*M105/1000</f>
        <v>0.1295</v>
      </c>
      <c r="Q105" s="196" t="s">
        <v>172</v>
      </c>
      <c r="R105" s="195">
        <v>1.1</v>
      </c>
      <c r="S105" s="195">
        <v>18.5</v>
      </c>
      <c r="T105" s="197">
        <f t="shared" ref="T105:T112" si="48">R105*S105/1000</f>
        <v>0.02035</v>
      </c>
    </row>
    <row r="106" spans="5:20">
      <c r="E106" s="196" t="s">
        <v>173</v>
      </c>
      <c r="F106" s="195">
        <v>0.175</v>
      </c>
      <c r="G106" s="195">
        <v>106</v>
      </c>
      <c r="H106" s="197">
        <f t="shared" si="46"/>
        <v>0.01855</v>
      </c>
      <c r="K106" s="196" t="s">
        <v>173</v>
      </c>
      <c r="L106" s="195">
        <v>0.175</v>
      </c>
      <c r="M106" s="195">
        <v>90</v>
      </c>
      <c r="N106" s="197">
        <f t="shared" si="47"/>
        <v>0.01575</v>
      </c>
      <c r="Q106" s="196" t="s">
        <v>173</v>
      </c>
      <c r="R106" s="195">
        <v>0.0275</v>
      </c>
      <c r="S106" s="195">
        <v>90</v>
      </c>
      <c r="T106" s="197">
        <f t="shared" si="48"/>
        <v>0.002475</v>
      </c>
    </row>
    <row r="107" spans="5:20">
      <c r="E107" s="196" t="s">
        <v>174</v>
      </c>
      <c r="F107" s="195">
        <v>3.5</v>
      </c>
      <c r="G107" s="195">
        <f>95/1.13</f>
        <v>84.070796460177</v>
      </c>
      <c r="H107" s="197">
        <f t="shared" si="46"/>
        <v>0.294247787610619</v>
      </c>
      <c r="K107" s="196" t="s">
        <v>174</v>
      </c>
      <c r="L107" s="195">
        <v>3.5</v>
      </c>
      <c r="M107" s="195">
        <v>65</v>
      </c>
      <c r="N107" s="197">
        <f t="shared" si="47"/>
        <v>0.2275</v>
      </c>
      <c r="Q107" s="196" t="s">
        <v>174</v>
      </c>
      <c r="R107" s="195">
        <v>0.55</v>
      </c>
      <c r="S107" s="195">
        <v>65</v>
      </c>
      <c r="T107" s="197">
        <f t="shared" si="48"/>
        <v>0.03575</v>
      </c>
    </row>
    <row r="108" spans="5:20">
      <c r="E108" s="196" t="s">
        <v>172</v>
      </c>
      <c r="F108" s="195">
        <v>7</v>
      </c>
      <c r="G108" s="195">
        <v>23.9</v>
      </c>
      <c r="H108" s="197">
        <f t="shared" si="46"/>
        <v>0.1673</v>
      </c>
      <c r="K108" s="196" t="s">
        <v>172</v>
      </c>
      <c r="L108" s="195">
        <v>7</v>
      </c>
      <c r="M108" s="195">
        <v>18.5</v>
      </c>
      <c r="N108" s="197">
        <f t="shared" si="47"/>
        <v>0.1295</v>
      </c>
      <c r="Q108" s="196" t="s">
        <v>172</v>
      </c>
      <c r="R108" s="195">
        <v>1.1</v>
      </c>
      <c r="S108" s="195">
        <v>18.5</v>
      </c>
      <c r="T108" s="197">
        <f t="shared" si="48"/>
        <v>0.02035</v>
      </c>
    </row>
    <row r="109" spans="5:20">
      <c r="E109" s="196" t="s">
        <v>173</v>
      </c>
      <c r="F109" s="195">
        <v>0.175</v>
      </c>
      <c r="G109" s="195">
        <v>106</v>
      </c>
      <c r="H109" s="197">
        <f t="shared" si="46"/>
        <v>0.01855</v>
      </c>
      <c r="K109" s="196" t="s">
        <v>173</v>
      </c>
      <c r="L109" s="195">
        <v>0.175</v>
      </c>
      <c r="M109" s="195">
        <v>90</v>
      </c>
      <c r="N109" s="197">
        <f t="shared" si="47"/>
        <v>0.01575</v>
      </c>
      <c r="Q109" s="196" t="s">
        <v>173</v>
      </c>
      <c r="R109" s="195">
        <v>0.0275</v>
      </c>
      <c r="S109" s="195">
        <v>90</v>
      </c>
      <c r="T109" s="197">
        <f t="shared" si="48"/>
        <v>0.002475</v>
      </c>
    </row>
    <row r="110" spans="5:20">
      <c r="E110" s="196" t="s">
        <v>175</v>
      </c>
      <c r="F110" s="195">
        <v>5.5</v>
      </c>
      <c r="G110" s="195">
        <f>115/1.13</f>
        <v>101.769911504425</v>
      </c>
      <c r="H110" s="197">
        <f t="shared" si="46"/>
        <v>0.559734513274336</v>
      </c>
      <c r="K110" s="196" t="s">
        <v>175</v>
      </c>
      <c r="L110" s="195">
        <v>4.5</v>
      </c>
      <c r="M110" s="195">
        <v>100</v>
      </c>
      <c r="N110" s="197">
        <f t="shared" si="47"/>
        <v>0.45</v>
      </c>
      <c r="Q110" s="196" t="s">
        <v>175</v>
      </c>
      <c r="R110" s="195">
        <v>0.95</v>
      </c>
      <c r="S110" s="195">
        <v>100</v>
      </c>
      <c r="T110" s="197">
        <f t="shared" si="48"/>
        <v>0.095</v>
      </c>
    </row>
    <row r="111" spans="5:20">
      <c r="E111" s="196" t="s">
        <v>172</v>
      </c>
      <c r="F111" s="195">
        <v>2.2</v>
      </c>
      <c r="G111" s="195">
        <v>18.5</v>
      </c>
      <c r="H111" s="197">
        <f t="shared" si="46"/>
        <v>0.0407</v>
      </c>
      <c r="K111" s="196" t="s">
        <v>172</v>
      </c>
      <c r="L111" s="195">
        <v>1.8</v>
      </c>
      <c r="M111" s="195">
        <v>18.5</v>
      </c>
      <c r="N111" s="197">
        <f t="shared" si="47"/>
        <v>0.0333</v>
      </c>
      <c r="Q111" s="196" t="s">
        <v>172</v>
      </c>
      <c r="R111" s="195">
        <v>0.38</v>
      </c>
      <c r="S111" s="195">
        <v>18.5</v>
      </c>
      <c r="T111" s="197">
        <f t="shared" si="48"/>
        <v>0.00703</v>
      </c>
    </row>
    <row r="112" spans="5:20">
      <c r="E112" s="196"/>
      <c r="F112" s="195"/>
      <c r="G112" s="195"/>
      <c r="H112" s="197">
        <f t="shared" si="46"/>
        <v>0</v>
      </c>
      <c r="K112" s="196"/>
      <c r="L112" s="195"/>
      <c r="M112" s="195"/>
      <c r="N112" s="197">
        <f t="shared" si="47"/>
        <v>0</v>
      </c>
      <c r="Q112" s="196"/>
      <c r="R112" s="195"/>
      <c r="S112" s="195"/>
      <c r="T112" s="197">
        <f t="shared" si="48"/>
        <v>0</v>
      </c>
    </row>
    <row r="113" spans="5:20">
      <c r="E113" s="196" t="s">
        <v>176</v>
      </c>
      <c r="F113" s="195"/>
      <c r="G113" s="195"/>
      <c r="H113" s="197">
        <v>0.35</v>
      </c>
      <c r="K113" s="196" t="s">
        <v>176</v>
      </c>
      <c r="L113" s="195"/>
      <c r="M113" s="195"/>
      <c r="N113" s="197">
        <v>0.35</v>
      </c>
      <c r="Q113" s="196" t="s">
        <v>176</v>
      </c>
      <c r="R113" s="195"/>
      <c r="S113" s="195"/>
      <c r="T113" s="197">
        <v>0.15</v>
      </c>
    </row>
    <row r="114" spans="6:20">
      <c r="F114" s="198"/>
      <c r="G114" s="195" t="s">
        <v>157</v>
      </c>
      <c r="H114" s="197">
        <f>SUM(H104:H113)</f>
        <v>1.87283008849558</v>
      </c>
      <c r="K114" s="104"/>
      <c r="L114" s="198"/>
      <c r="M114" s="213" t="s">
        <v>157</v>
      </c>
      <c r="N114" s="214">
        <f>SUM(N104:N113)</f>
        <v>1.5683</v>
      </c>
      <c r="R114" s="198"/>
      <c r="S114" s="195" t="s">
        <v>157</v>
      </c>
      <c r="T114" s="197">
        <f>SUM(T104:T113)</f>
        <v>0.36753</v>
      </c>
    </row>
    <row r="115" spans="11:12">
      <c r="K115" s="104"/>
      <c r="L115" s="198"/>
    </row>
    <row r="116" ht="24" spans="3:9">
      <c r="C116" s="199" t="s">
        <v>177</v>
      </c>
      <c r="D116" s="199" t="s">
        <v>178</v>
      </c>
      <c r="E116" s="200" t="s">
        <v>179</v>
      </c>
      <c r="F116" s="269" t="s">
        <v>180</v>
      </c>
      <c r="G116" s="201" t="s">
        <v>181</v>
      </c>
      <c r="H116" s="199" t="s">
        <v>182</v>
      </c>
      <c r="I116" s="215" t="s">
        <v>183</v>
      </c>
    </row>
    <row r="117" ht="51.75" customHeight="1" spans="2:14">
      <c r="B117" s="202" t="s">
        <v>184</v>
      </c>
      <c r="C117" s="203">
        <v>4.6</v>
      </c>
      <c r="D117" s="204">
        <v>13.5</v>
      </c>
      <c r="E117" s="205">
        <v>130</v>
      </c>
      <c r="F117" s="206">
        <v>14</v>
      </c>
      <c r="G117" s="207">
        <v>0.97</v>
      </c>
      <c r="H117" s="206">
        <v>2.5</v>
      </c>
      <c r="I117" s="216" t="s">
        <v>185</v>
      </c>
      <c r="J117" s="217"/>
      <c r="K117" s="217"/>
      <c r="L117" s="217"/>
      <c r="M117" s="217"/>
      <c r="N117" s="218"/>
    </row>
    <row r="118" ht="33.75" customHeight="1" spans="2:15">
      <c r="B118" s="202" t="s">
        <v>186</v>
      </c>
      <c r="C118" s="203">
        <v>8.3</v>
      </c>
      <c r="D118" s="203">
        <v>14</v>
      </c>
      <c r="E118" s="204">
        <v>130</v>
      </c>
      <c r="F118" s="204">
        <v>17</v>
      </c>
      <c r="G118" s="207">
        <v>0.96</v>
      </c>
      <c r="H118" s="206">
        <v>2.5</v>
      </c>
      <c r="I118" s="216" t="s">
        <v>187</v>
      </c>
      <c r="J118" s="217"/>
      <c r="K118" s="217"/>
      <c r="L118" s="217"/>
      <c r="M118" s="217"/>
      <c r="N118" s="218"/>
      <c r="O118" s="219" t="s">
        <v>188</v>
      </c>
    </row>
    <row r="119" ht="33.75" customHeight="1" spans="2:15">
      <c r="B119" s="202" t="s">
        <v>186</v>
      </c>
      <c r="C119" s="203">
        <v>8.3</v>
      </c>
      <c r="D119" s="203">
        <v>14</v>
      </c>
      <c r="E119" s="204">
        <v>130</v>
      </c>
      <c r="F119" s="204">
        <v>15</v>
      </c>
      <c r="G119" s="207">
        <v>0.97</v>
      </c>
      <c r="H119" s="206">
        <v>2.5</v>
      </c>
      <c r="I119" s="216" t="s">
        <v>189</v>
      </c>
      <c r="J119" s="217"/>
      <c r="K119" s="217"/>
      <c r="L119" s="217"/>
      <c r="M119" s="217"/>
      <c r="N119" s="218"/>
      <c r="O119" s="219" t="s">
        <v>190</v>
      </c>
    </row>
    <row r="120" ht="21.75" customHeight="1" spans="2:14">
      <c r="B120" s="202" t="s">
        <v>191</v>
      </c>
      <c r="C120" s="203">
        <v>2.2</v>
      </c>
      <c r="D120" s="204">
        <v>2.5</v>
      </c>
      <c r="E120" s="205">
        <v>130</v>
      </c>
      <c r="F120" s="206">
        <v>16</v>
      </c>
      <c r="G120" s="207">
        <v>0.97</v>
      </c>
      <c r="H120" s="206">
        <v>3</v>
      </c>
      <c r="I120" s="216" t="s">
        <v>192</v>
      </c>
      <c r="J120" s="217"/>
      <c r="K120" s="217"/>
      <c r="L120" s="217"/>
      <c r="M120" s="217"/>
      <c r="N120" s="218"/>
    </row>
    <row r="121" ht="21.75" customHeight="1" spans="2:14">
      <c r="B121" s="202" t="s">
        <v>34</v>
      </c>
      <c r="C121" s="204">
        <v>0.1</v>
      </c>
      <c r="D121" s="204">
        <v>0.8</v>
      </c>
      <c r="E121" s="205">
        <v>100</v>
      </c>
      <c r="F121" s="206">
        <v>14</v>
      </c>
      <c r="G121" s="207">
        <v>0.97</v>
      </c>
      <c r="H121" s="206">
        <v>2</v>
      </c>
      <c r="I121" s="216" t="s">
        <v>193</v>
      </c>
      <c r="J121" s="217"/>
      <c r="K121" s="217"/>
      <c r="L121" s="217"/>
      <c r="M121" s="217"/>
      <c r="N121" s="218"/>
    </row>
    <row r="122" s="103" customFormat="1" ht="36" customHeight="1" spans="1:28">
      <c r="A122" s="104"/>
      <c r="B122" s="208" t="s">
        <v>35</v>
      </c>
      <c r="C122" s="204">
        <v>0.3</v>
      </c>
      <c r="D122" s="204">
        <v>1</v>
      </c>
      <c r="E122" s="205">
        <v>100</v>
      </c>
      <c r="F122" s="206">
        <v>14</v>
      </c>
      <c r="G122" s="207">
        <v>0.97</v>
      </c>
      <c r="H122" s="206">
        <v>2</v>
      </c>
      <c r="I122" s="216" t="s">
        <v>194</v>
      </c>
      <c r="J122" s="217"/>
      <c r="K122" s="217"/>
      <c r="L122" s="217"/>
      <c r="M122" s="217"/>
      <c r="N122" s="218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</row>
    <row r="123" ht="25.5" customHeight="1" spans="3:14">
      <c r="C123" s="204"/>
      <c r="D123" s="204"/>
      <c r="E123" s="205"/>
      <c r="F123" s="270" t="s">
        <v>195</v>
      </c>
      <c r="G123" s="207">
        <v>0.98</v>
      </c>
      <c r="H123" s="206">
        <v>12</v>
      </c>
      <c r="I123" s="216" t="s">
        <v>196</v>
      </c>
      <c r="J123" s="217"/>
      <c r="K123" s="217"/>
      <c r="L123" s="217"/>
      <c r="M123" s="217"/>
      <c r="N123" s="218"/>
    </row>
    <row r="125" s="103" customFormat="1" ht="24" spans="1:28">
      <c r="A125" s="104"/>
      <c r="B125" s="104"/>
      <c r="C125" s="209" t="s">
        <v>197</v>
      </c>
      <c r="D125" s="209" t="s">
        <v>198</v>
      </c>
      <c r="E125" s="209" t="s">
        <v>199</v>
      </c>
      <c r="F125" s="209" t="s">
        <v>200</v>
      </c>
      <c r="G125" s="209" t="s">
        <v>201</v>
      </c>
      <c r="H125" s="209" t="s">
        <v>202</v>
      </c>
      <c r="I125" s="209" t="s">
        <v>203</v>
      </c>
      <c r="J125" s="209" t="s">
        <v>157</v>
      </c>
      <c r="K125" s="215" t="s">
        <v>183</v>
      </c>
      <c r="L125" s="104"/>
      <c r="M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</row>
    <row r="126" s="103" customFormat="1" ht="36" customHeight="1" spans="1:28">
      <c r="A126" s="104"/>
      <c r="B126" s="202" t="s">
        <v>184</v>
      </c>
      <c r="C126" s="210">
        <v>95000</v>
      </c>
      <c r="D126" s="210">
        <v>16000</v>
      </c>
      <c r="E126" s="210"/>
      <c r="F126" s="210"/>
      <c r="G126" s="210" t="s">
        <v>204</v>
      </c>
      <c r="H126" s="210">
        <v>11500</v>
      </c>
      <c r="I126" s="210"/>
      <c r="J126" s="220">
        <f t="shared" ref="J126:J130" si="49">C126+D126+F126+H126+I126</f>
        <v>122500</v>
      </c>
      <c r="K126" s="216" t="s">
        <v>205</v>
      </c>
      <c r="L126" s="217"/>
      <c r="M126" s="217"/>
      <c r="N126" s="217"/>
      <c r="O126" s="218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</row>
    <row r="127" s="103" customFormat="1" ht="24" customHeight="1" spans="1:28">
      <c r="A127" s="104"/>
      <c r="B127" s="202" t="s">
        <v>186</v>
      </c>
      <c r="C127" s="210">
        <v>98000</v>
      </c>
      <c r="D127" s="210">
        <v>16000</v>
      </c>
      <c r="E127" s="210"/>
      <c r="F127" s="210"/>
      <c r="G127" s="210" t="s">
        <v>204</v>
      </c>
      <c r="H127" s="210">
        <v>11500</v>
      </c>
      <c r="I127" s="210"/>
      <c r="J127" s="220">
        <f t="shared" si="49"/>
        <v>125500</v>
      </c>
      <c r="K127" s="216" t="s">
        <v>206</v>
      </c>
      <c r="L127" s="217"/>
      <c r="M127" s="217"/>
      <c r="N127" s="218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</row>
    <row r="128" s="103" customFormat="1" spans="1:28">
      <c r="A128" s="104"/>
      <c r="B128" s="202" t="s">
        <v>191</v>
      </c>
      <c r="C128" s="210">
        <v>125000</v>
      </c>
      <c r="D128" s="210"/>
      <c r="E128" s="210"/>
      <c r="F128" s="210"/>
      <c r="G128" s="210" t="s">
        <v>207</v>
      </c>
      <c r="H128" s="210">
        <v>2000</v>
      </c>
      <c r="I128" s="210"/>
      <c r="J128" s="220">
        <f t="shared" si="49"/>
        <v>127000</v>
      </c>
      <c r="K128" s="206"/>
      <c r="L128" s="206"/>
      <c r="M128" s="206"/>
      <c r="N128" s="206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</row>
    <row r="129" s="103" customFormat="1" spans="1:28">
      <c r="A129" s="104"/>
      <c r="B129" s="202" t="s">
        <v>34</v>
      </c>
      <c r="C129" s="210">
        <v>75000</v>
      </c>
      <c r="D129" s="210"/>
      <c r="E129" s="210"/>
      <c r="F129" s="210"/>
      <c r="G129" s="210" t="s">
        <v>207</v>
      </c>
      <c r="H129" s="210">
        <v>2000</v>
      </c>
      <c r="I129" s="210"/>
      <c r="J129" s="220">
        <f t="shared" si="49"/>
        <v>77000</v>
      </c>
      <c r="K129" s="206"/>
      <c r="L129" s="206"/>
      <c r="M129" s="206"/>
      <c r="N129" s="206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</row>
    <row r="130" s="103" customFormat="1" spans="1:28">
      <c r="A130" s="104"/>
      <c r="B130" s="208" t="s">
        <v>35</v>
      </c>
      <c r="C130" s="210">
        <v>63000</v>
      </c>
      <c r="D130" s="210"/>
      <c r="E130" s="210"/>
      <c r="F130" s="210"/>
      <c r="G130" s="210" t="s">
        <v>207</v>
      </c>
      <c r="H130" s="210">
        <v>2000</v>
      </c>
      <c r="I130" s="210"/>
      <c r="J130" s="220">
        <f t="shared" si="49"/>
        <v>65000</v>
      </c>
      <c r="K130" s="206"/>
      <c r="L130" s="104"/>
      <c r="M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</row>
    <row r="132" s="103" customFormat="1" spans="1:32">
      <c r="A132" s="104"/>
      <c r="B132" s="231" t="s">
        <v>208</v>
      </c>
      <c r="C132" s="232" t="s">
        <v>209</v>
      </c>
      <c r="D132" s="233"/>
      <c r="E132" s="234" t="s">
        <v>210</v>
      </c>
      <c r="F132" s="199" t="s">
        <v>182</v>
      </c>
      <c r="G132" s="199" t="s">
        <v>181</v>
      </c>
      <c r="H132" s="235" t="s">
        <v>211</v>
      </c>
      <c r="I132" s="242"/>
      <c r="J132" s="243"/>
      <c r="L132" s="104"/>
      <c r="M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</row>
    <row r="133" s="103" customFormat="1" ht="88.5" customHeight="1" spans="1:32">
      <c r="A133" s="104"/>
      <c r="B133" s="236" t="s">
        <v>212</v>
      </c>
      <c r="C133" s="237" t="s">
        <v>213</v>
      </c>
      <c r="D133" s="238"/>
      <c r="E133" s="239">
        <v>9000</v>
      </c>
      <c r="F133" s="240">
        <f>32-6</f>
        <v>26</v>
      </c>
      <c r="G133" s="207">
        <v>0.985</v>
      </c>
      <c r="H133" s="241" t="s">
        <v>214</v>
      </c>
      <c r="I133" s="244"/>
      <c r="J133" s="245"/>
      <c r="K133" s="206" t="s">
        <v>215</v>
      </c>
      <c r="L133" s="206"/>
      <c r="M133" s="206"/>
      <c r="N133" s="206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</row>
    <row r="134" s="103" customFormat="1" ht="20.25" customHeight="1" spans="1:32">
      <c r="A134" s="104"/>
      <c r="B134" s="236" t="s">
        <v>216</v>
      </c>
      <c r="C134" s="237" t="s">
        <v>217</v>
      </c>
      <c r="D134" s="238"/>
      <c r="E134" s="239">
        <v>8500</v>
      </c>
      <c r="F134" s="240">
        <v>70</v>
      </c>
      <c r="G134" s="207">
        <v>0.985</v>
      </c>
      <c r="H134" s="241" t="s">
        <v>218</v>
      </c>
      <c r="I134" s="244"/>
      <c r="J134" s="245"/>
      <c r="K134" s="206"/>
      <c r="L134" s="206"/>
      <c r="M134" s="206"/>
      <c r="N134" s="206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</row>
    <row r="135" s="103" customFormat="1" ht="17.25" customHeight="1" spans="1:32">
      <c r="A135" s="104"/>
      <c r="B135" s="236" t="s">
        <v>32</v>
      </c>
      <c r="C135" s="237" t="s">
        <v>219</v>
      </c>
      <c r="D135" s="238"/>
      <c r="E135" s="239">
        <v>8000</v>
      </c>
      <c r="F135" s="206">
        <v>24</v>
      </c>
      <c r="G135" s="207">
        <v>0.97</v>
      </c>
      <c r="H135" s="241"/>
      <c r="I135" s="244"/>
      <c r="J135" s="245"/>
      <c r="K135" s="206"/>
      <c r="L135" s="206"/>
      <c r="M135" s="206"/>
      <c r="N135" s="206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</row>
    <row r="136" s="103" customFormat="1" ht="30.75" customHeight="1" spans="1:32">
      <c r="A136" s="104"/>
      <c r="B136" s="236" t="s">
        <v>191</v>
      </c>
      <c r="C136" s="237" t="s">
        <v>220</v>
      </c>
      <c r="D136" s="238"/>
      <c r="E136" s="239">
        <v>9000</v>
      </c>
      <c r="F136" s="240">
        <v>15</v>
      </c>
      <c r="G136" s="207">
        <v>0.985</v>
      </c>
      <c r="H136" s="241"/>
      <c r="I136" s="244"/>
      <c r="J136" s="245"/>
      <c r="K136" s="206"/>
      <c r="L136" s="206"/>
      <c r="M136" s="206"/>
      <c r="N136" s="206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</row>
    <row r="137" s="103" customFormat="1" customHeight="1" spans="1:32">
      <c r="A137" s="104"/>
      <c r="B137" s="236" t="s">
        <v>34</v>
      </c>
      <c r="C137" s="237" t="s">
        <v>221</v>
      </c>
      <c r="D137" s="238"/>
      <c r="E137" s="239">
        <v>9000</v>
      </c>
      <c r="F137" s="206">
        <v>8</v>
      </c>
      <c r="G137" s="207">
        <v>0.985</v>
      </c>
      <c r="H137" s="241"/>
      <c r="I137" s="244"/>
      <c r="J137" s="245"/>
      <c r="K137" s="206"/>
      <c r="L137" s="206"/>
      <c r="M137" s="206"/>
      <c r="N137" s="206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</row>
  </sheetData>
  <mergeCells count="33">
    <mergeCell ref="A1:AF1"/>
    <mergeCell ref="A83:B83"/>
    <mergeCell ref="I117:N117"/>
    <mergeCell ref="I118:N118"/>
    <mergeCell ref="I119:N119"/>
    <mergeCell ref="I120:N120"/>
    <mergeCell ref="I121:N121"/>
    <mergeCell ref="I122:N122"/>
    <mergeCell ref="I123:N123"/>
    <mergeCell ref="K126:O126"/>
    <mergeCell ref="K127:N127"/>
    <mergeCell ref="K128:N128"/>
    <mergeCell ref="K129:N129"/>
    <mergeCell ref="C132:D132"/>
    <mergeCell ref="H132:J132"/>
    <mergeCell ref="C133:D133"/>
    <mergeCell ref="H133:J133"/>
    <mergeCell ref="K133:N133"/>
    <mergeCell ref="C134:D134"/>
    <mergeCell ref="H134:J134"/>
    <mergeCell ref="K134:N134"/>
    <mergeCell ref="C135:D135"/>
    <mergeCell ref="H135:J135"/>
    <mergeCell ref="K135:N135"/>
    <mergeCell ref="C136:D136"/>
    <mergeCell ref="H136:J136"/>
    <mergeCell ref="K136:N136"/>
    <mergeCell ref="C137:D137"/>
    <mergeCell ref="H137:J137"/>
    <mergeCell ref="K137:N137"/>
    <mergeCell ref="X9:X10"/>
    <mergeCell ref="X39:X45"/>
    <mergeCell ref="X61:X64"/>
  </mergeCells>
  <pageMargins left="0.7" right="0.7" top="0.75" bottom="0.75" header="0.3" footer="0.3"/>
  <pageSetup paperSize="9" orientation="portrait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G30"/>
  <sheetViews>
    <sheetView tabSelected="1" zoomScale="85" zoomScaleNormal="85" workbookViewId="0">
      <pane xSplit="2" ySplit="3" topLeftCell="C4" activePane="bottomRight" state="frozen"/>
      <selection/>
      <selection pane="topRight"/>
      <selection pane="bottomLeft"/>
      <selection pane="bottomRight" activeCell="B12" sqref="B12"/>
    </sheetView>
  </sheetViews>
  <sheetFormatPr defaultColWidth="9" defaultRowHeight="12"/>
  <cols>
    <col min="1" max="1" width="10.3666666666667" style="3" customWidth="1"/>
    <col min="2" max="2" width="31" style="3" customWidth="1"/>
    <col min="3" max="3" width="33.8166666666667" style="3" customWidth="1"/>
    <col min="4" max="4" width="9.63333333333333" style="3" customWidth="1"/>
    <col min="5" max="5" width="17.8166666666667" style="3" customWidth="1"/>
    <col min="6" max="6" width="8.45" style="3" customWidth="1"/>
    <col min="7" max="7" width="7.45" style="3" customWidth="1"/>
    <col min="8" max="8" width="6.36666666666667" style="3" customWidth="1"/>
    <col min="9" max="9" width="8.09166666666667" style="3" hidden="1" customWidth="1"/>
    <col min="10" max="10" width="8.09166666666667" style="4" hidden="1" customWidth="1"/>
    <col min="11" max="11" width="7.09166666666667" style="3" hidden="1" customWidth="1"/>
    <col min="12" max="12" width="9.09166666666667" style="3" hidden="1" customWidth="1"/>
    <col min="13" max="15" width="7.36666666666667" style="4" hidden="1" customWidth="1"/>
    <col min="16" max="17" width="7.90833333333333" style="3" customWidth="1"/>
    <col min="18" max="18" width="8" style="3" customWidth="1"/>
    <col min="19" max="20" width="7.90833333333333" style="3" customWidth="1"/>
    <col min="21" max="22" width="9.09166666666667" style="3" customWidth="1"/>
    <col min="23" max="23" width="7.90833333333333" style="3" customWidth="1"/>
    <col min="24" max="24" width="7" style="3" customWidth="1"/>
    <col min="25" max="25" width="9.90833333333333" style="3" customWidth="1"/>
    <col min="26" max="26" width="8.09166666666667" style="3" customWidth="1"/>
    <col min="27" max="27" width="9.63333333333333" style="3" customWidth="1"/>
    <col min="28" max="28" width="8.45" style="3" customWidth="1"/>
    <col min="29" max="29" width="5" style="3" customWidth="1"/>
    <col min="30" max="30" width="9.90833333333333" style="3" customWidth="1"/>
    <col min="31" max="31" width="9.45" style="3" customWidth="1"/>
    <col min="32" max="32" width="8" style="3" customWidth="1"/>
    <col min="33" max="16384" width="9" style="3"/>
  </cols>
  <sheetData>
    <row r="1" ht="25.5" customHeight="1" spans="1:31">
      <c r="A1" s="5" t="s">
        <v>222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15" customHeight="1" spans="1:31">
      <c r="A2" s="6" t="s">
        <v>223</v>
      </c>
      <c r="B2" s="6"/>
      <c r="C2" s="6"/>
      <c r="D2" s="6"/>
      <c r="E2" s="6" t="s">
        <v>224</v>
      </c>
      <c r="F2" s="6"/>
      <c r="G2" s="6" t="s">
        <v>225</v>
      </c>
      <c r="H2" s="6"/>
      <c r="I2" s="6"/>
      <c r="J2" s="47" t="s">
        <v>226</v>
      </c>
      <c r="K2" s="6"/>
      <c r="L2" s="6"/>
      <c r="M2" s="47"/>
      <c r="N2" s="47"/>
      <c r="O2" s="47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="2" customFormat="1" ht="36" spans="1:31">
      <c r="A3" s="7" t="s">
        <v>42</v>
      </c>
      <c r="B3" s="7" t="s">
        <v>43</v>
      </c>
      <c r="C3" s="8"/>
      <c r="D3" s="9" t="s">
        <v>45</v>
      </c>
      <c r="E3" s="10" t="s">
        <v>46</v>
      </c>
      <c r="F3" s="11" t="s">
        <v>47</v>
      </c>
      <c r="G3" s="11" t="s">
        <v>227</v>
      </c>
      <c r="H3" s="12" t="s">
        <v>50</v>
      </c>
      <c r="I3" s="11" t="s">
        <v>51</v>
      </c>
      <c r="J3" s="48" t="s">
        <v>52</v>
      </c>
      <c r="K3" s="49" t="s">
        <v>53</v>
      </c>
      <c r="L3" s="50" t="s">
        <v>54</v>
      </c>
      <c r="M3" s="48" t="s">
        <v>55</v>
      </c>
      <c r="N3" s="48" t="s">
        <v>56</v>
      </c>
      <c r="O3" s="48" t="s">
        <v>57</v>
      </c>
      <c r="P3" s="49" t="s">
        <v>58</v>
      </c>
      <c r="Q3" s="50" t="s">
        <v>59</v>
      </c>
      <c r="R3" s="50" t="s">
        <v>60</v>
      </c>
      <c r="S3" s="61" t="s">
        <v>61</v>
      </c>
      <c r="T3" s="50" t="s">
        <v>62</v>
      </c>
      <c r="U3" s="62" t="s">
        <v>63</v>
      </c>
      <c r="V3" s="63" t="s">
        <v>64</v>
      </c>
      <c r="W3" s="7" t="s">
        <v>65</v>
      </c>
      <c r="X3" s="64" t="s">
        <v>66</v>
      </c>
      <c r="Y3" s="7" t="s">
        <v>67</v>
      </c>
      <c r="Z3" s="63" t="s">
        <v>68</v>
      </c>
      <c r="AA3" s="85" t="s">
        <v>69</v>
      </c>
      <c r="AB3" s="85" t="s">
        <v>70</v>
      </c>
      <c r="AC3" s="85" t="s">
        <v>71</v>
      </c>
      <c r="AD3" s="85" t="s">
        <v>72</v>
      </c>
      <c r="AE3" s="85" t="s">
        <v>73</v>
      </c>
    </row>
    <row r="4" s="2" customFormat="1" ht="41" customHeight="1" spans="1:31">
      <c r="A4" s="7" t="s">
        <v>228</v>
      </c>
      <c r="B4" s="7"/>
      <c r="C4" s="8"/>
      <c r="D4" s="9"/>
      <c r="E4" s="10"/>
      <c r="F4" s="11"/>
      <c r="G4" s="11"/>
      <c r="H4" s="12"/>
      <c r="I4" s="11"/>
      <c r="J4" s="48"/>
      <c r="K4" s="49"/>
      <c r="L4" s="50"/>
      <c r="M4" s="48"/>
      <c r="N4" s="48"/>
      <c r="O4" s="48"/>
      <c r="P4" s="49"/>
      <c r="Q4" s="50"/>
      <c r="R4" s="50"/>
      <c r="S4" s="61"/>
      <c r="T4" s="50"/>
      <c r="U4" s="62"/>
      <c r="V4" s="63"/>
      <c r="W4" s="7"/>
      <c r="X4" s="64"/>
      <c r="Y4" s="7"/>
      <c r="Z4" s="63"/>
      <c r="AA4" s="85"/>
      <c r="AB4" s="85"/>
      <c r="AC4" s="85"/>
      <c r="AD4" s="85"/>
      <c r="AE4" s="85"/>
    </row>
    <row r="5" s="2" customFormat="1" ht="16.5" customHeight="1" spans="1:31">
      <c r="A5" s="13" t="s">
        <v>229</v>
      </c>
      <c r="B5" s="14" t="s">
        <v>230</v>
      </c>
      <c r="C5" s="14"/>
      <c r="D5" s="15"/>
      <c r="E5" s="16"/>
      <c r="F5" s="17"/>
      <c r="G5" s="17"/>
      <c r="H5" s="18"/>
      <c r="I5" s="17"/>
      <c r="J5" s="51"/>
      <c r="K5" s="52"/>
      <c r="L5" s="53"/>
      <c r="M5" s="51"/>
      <c r="N5" s="51"/>
      <c r="O5" s="51"/>
      <c r="P5" s="52"/>
      <c r="Q5" s="53"/>
      <c r="R5" s="53"/>
      <c r="S5" s="65"/>
      <c r="T5" s="53"/>
      <c r="U5" s="62"/>
      <c r="V5" s="66"/>
      <c r="W5" s="13"/>
      <c r="X5" s="67"/>
      <c r="Y5" s="13"/>
      <c r="Z5" s="86"/>
      <c r="AA5" s="86"/>
      <c r="AB5" s="87">
        <f>(U5+Y5+Z5+AA5)*0.09</f>
        <v>0</v>
      </c>
      <c r="AC5" s="88"/>
      <c r="AD5" s="89" t="e">
        <f>SUM(AD6:AD12)+Z5+AA5+AB5</f>
        <v>#REF!</v>
      </c>
      <c r="AE5" s="90" t="e">
        <f>AD5*1.13</f>
        <v>#REF!</v>
      </c>
    </row>
    <row r="6" ht="27.75" customHeight="1" spans="1:33">
      <c r="A6" s="19" t="s">
        <v>231</v>
      </c>
      <c r="B6" s="20" t="s">
        <v>232</v>
      </c>
      <c r="C6" s="20"/>
      <c r="D6" s="21"/>
      <c r="E6" s="22" t="s">
        <v>233</v>
      </c>
      <c r="F6" s="23">
        <v>1</v>
      </c>
      <c r="G6" s="24">
        <v>24</v>
      </c>
      <c r="H6" s="25">
        <v>1</v>
      </c>
      <c r="I6" s="30"/>
      <c r="J6" s="54"/>
      <c r="K6" s="24"/>
      <c r="L6" s="24"/>
      <c r="M6" s="54"/>
      <c r="N6" s="54"/>
      <c r="O6" s="54"/>
      <c r="P6" s="24"/>
      <c r="Q6" s="68">
        <f>+F6/G6/H6</f>
        <v>0.0416666666666667</v>
      </c>
      <c r="R6" s="30"/>
      <c r="S6" s="69"/>
      <c r="T6" s="70"/>
      <c r="U6" s="71">
        <f>SUM(P6:T6)</f>
        <v>0.0416666666666667</v>
      </c>
      <c r="V6" s="30">
        <f>U6+Y6</f>
        <v>0.0416666666666667</v>
      </c>
      <c r="W6" s="72"/>
      <c r="X6" s="73"/>
      <c r="Y6" s="72"/>
      <c r="Z6" s="72"/>
      <c r="AA6" s="72"/>
      <c r="AB6" s="72">
        <f>(U6+Y6+Z6+AA6)*0.09</f>
        <v>0.00375</v>
      </c>
      <c r="AC6" s="91">
        <v>1</v>
      </c>
      <c r="AD6" s="30">
        <f>(U6+Y6+Z6+AA6+AB6)*AC6</f>
        <v>0.0454166666666667</v>
      </c>
      <c r="AE6" s="30">
        <f>AD6*1.13</f>
        <v>0.0513208333333333</v>
      </c>
      <c r="AF6" s="92"/>
      <c r="AG6" s="101"/>
    </row>
    <row r="7" ht="18.75" customHeight="1" spans="1:31">
      <c r="A7" s="26" t="s">
        <v>234</v>
      </c>
      <c r="B7" s="27" t="s">
        <v>235</v>
      </c>
      <c r="C7" s="27"/>
      <c r="D7" s="28"/>
      <c r="E7" s="29"/>
      <c r="F7" s="30"/>
      <c r="G7" s="24"/>
      <c r="H7" s="25" t="e">
        <f>#REF!</f>
        <v>#REF!</v>
      </c>
      <c r="I7" s="30"/>
      <c r="J7" s="54"/>
      <c r="K7" s="24"/>
      <c r="L7" s="24"/>
      <c r="M7" s="54"/>
      <c r="N7" s="54"/>
      <c r="O7" s="54"/>
      <c r="P7" s="30" t="e">
        <f>V6/H7-V6</f>
        <v>#REF!</v>
      </c>
      <c r="Q7" s="68"/>
      <c r="R7" s="30" t="e">
        <f>#REF!</f>
        <v>#REF!</v>
      </c>
      <c r="S7" s="74" t="e">
        <f>#REF!</f>
        <v>#REF!</v>
      </c>
      <c r="T7" s="30" t="e">
        <f>S7/0.8*0.2</f>
        <v>#REF!</v>
      </c>
      <c r="U7" s="71" t="e">
        <f>SUM(P7:T7)</f>
        <v>#REF!</v>
      </c>
      <c r="V7" s="30" t="e">
        <f>U7+Y7+V6</f>
        <v>#REF!</v>
      </c>
      <c r="W7" s="30"/>
      <c r="X7" s="75"/>
      <c r="Y7" s="30"/>
      <c r="Z7" s="30"/>
      <c r="AA7" s="30"/>
      <c r="AB7" s="72" t="e">
        <f t="shared" ref="AB7:AB12" si="0">(U7+Y7+Z7+AA7)*0.09</f>
        <v>#REF!</v>
      </c>
      <c r="AC7" s="91">
        <v>1</v>
      </c>
      <c r="AD7" s="30" t="e">
        <f>(U7+Y7+Z7+AA7+AB7)*AC7</f>
        <v>#REF!</v>
      </c>
      <c r="AE7" s="30" t="e">
        <f>AD7*1.13</f>
        <v>#REF!</v>
      </c>
    </row>
    <row r="8" ht="18.75" customHeight="1" spans="1:31">
      <c r="A8" s="26" t="s">
        <v>236</v>
      </c>
      <c r="B8" s="27" t="s">
        <v>237</v>
      </c>
      <c r="C8" s="27"/>
      <c r="D8" s="21"/>
      <c r="E8" s="29"/>
      <c r="F8" s="30"/>
      <c r="G8" s="30"/>
      <c r="H8" s="25" t="e">
        <f>#REF!</f>
        <v>#REF!</v>
      </c>
      <c r="I8" s="30"/>
      <c r="J8" s="55"/>
      <c r="K8" s="56"/>
      <c r="L8" s="24"/>
      <c r="M8" s="54"/>
      <c r="N8" s="54"/>
      <c r="O8" s="54"/>
      <c r="P8" s="30" t="e">
        <f t="shared" ref="P8:P12" si="1">V7/H8-V7</f>
        <v>#REF!</v>
      </c>
      <c r="Q8" s="30" t="e">
        <f>#REF!</f>
        <v>#REF!</v>
      </c>
      <c r="R8" s="30" t="e">
        <f>#REF!</f>
        <v>#REF!</v>
      </c>
      <c r="S8" s="74" t="e">
        <f>#REF!</f>
        <v>#REF!</v>
      </c>
      <c r="T8" s="30" t="e">
        <f t="shared" ref="T8" si="2">S8/0.8*0.2</f>
        <v>#REF!</v>
      </c>
      <c r="U8" s="71" t="e">
        <f t="shared" ref="U8" si="3">SUM(P8:T8)</f>
        <v>#REF!</v>
      </c>
      <c r="V8" s="30" t="e">
        <f t="shared" ref="V8:V12" si="4">U8+Y8+V7</f>
        <v>#REF!</v>
      </c>
      <c r="W8" s="72"/>
      <c r="X8" s="75"/>
      <c r="Y8" s="30"/>
      <c r="Z8" s="72"/>
      <c r="AA8" s="72"/>
      <c r="AB8" s="72" t="e">
        <f t="shared" ref="AB8" si="5">(U8+Y8+Z8+AA8)*0.09</f>
        <v>#REF!</v>
      </c>
      <c r="AC8" s="91">
        <v>1</v>
      </c>
      <c r="AD8" s="30" t="e">
        <f>(U8+Y8+Z8+AA8+AB8)*AC8</f>
        <v>#REF!</v>
      </c>
      <c r="AE8" s="30" t="e">
        <f t="shared" ref="AE8" si="6">AD8*1.13</f>
        <v>#REF!</v>
      </c>
    </row>
    <row r="9" ht="18.75" customHeight="1" spans="1:31">
      <c r="A9" s="26" t="s">
        <v>238</v>
      </c>
      <c r="B9" s="27" t="s">
        <v>239</v>
      </c>
      <c r="C9" s="27"/>
      <c r="D9" s="21"/>
      <c r="E9" s="29"/>
      <c r="F9" s="30"/>
      <c r="G9" s="30"/>
      <c r="H9" s="25" t="e">
        <f>#REF!</f>
        <v>#REF!</v>
      </c>
      <c r="I9" s="30"/>
      <c r="J9" s="55"/>
      <c r="K9" s="56"/>
      <c r="L9" s="24"/>
      <c r="M9" s="54"/>
      <c r="N9" s="54"/>
      <c r="O9" s="54"/>
      <c r="P9" s="30" t="e">
        <f t="shared" si="1"/>
        <v>#REF!</v>
      </c>
      <c r="Q9" s="68" t="e">
        <f>#REF!</f>
        <v>#REF!</v>
      </c>
      <c r="R9" s="30" t="e">
        <f>#REF!</f>
        <v>#REF!</v>
      </c>
      <c r="S9" s="74" t="e">
        <f>#REF!</f>
        <v>#REF!</v>
      </c>
      <c r="T9" s="30" t="e">
        <f t="shared" ref="T9:T12" si="7">S9/0.8*0.2</f>
        <v>#REF!</v>
      </c>
      <c r="U9" s="71" t="e">
        <f t="shared" ref="U7:U12" si="8">SUM(P9:T9)</f>
        <v>#REF!</v>
      </c>
      <c r="V9" s="30" t="e">
        <f t="shared" si="4"/>
        <v>#REF!</v>
      </c>
      <c r="W9" s="72"/>
      <c r="X9" s="75"/>
      <c r="Y9" s="72"/>
      <c r="Z9" s="72"/>
      <c r="AA9" s="72"/>
      <c r="AB9" s="72" t="e">
        <f t="shared" si="0"/>
        <v>#REF!</v>
      </c>
      <c r="AC9" s="91">
        <v>1</v>
      </c>
      <c r="AD9" s="30" t="e">
        <f t="shared" ref="AD9:AD12" si="9">(U9+Y9+Z9+AA9+AB9)*AC9</f>
        <v>#REF!</v>
      </c>
      <c r="AE9" s="30" t="e">
        <f t="shared" ref="AE9:AE16" si="10">AD9*1.13</f>
        <v>#REF!</v>
      </c>
    </row>
    <row r="10" ht="18.75" customHeight="1" spans="1:31">
      <c r="A10" s="26" t="s">
        <v>240</v>
      </c>
      <c r="B10" s="27" t="s">
        <v>241</v>
      </c>
      <c r="C10" s="27"/>
      <c r="D10" s="21"/>
      <c r="E10" s="29"/>
      <c r="F10" s="30"/>
      <c r="G10" s="30"/>
      <c r="H10" s="25">
        <v>1</v>
      </c>
      <c r="I10" s="30"/>
      <c r="J10" s="55"/>
      <c r="K10" s="56"/>
      <c r="L10" s="24"/>
      <c r="M10" s="54"/>
      <c r="N10" s="54"/>
      <c r="O10" s="54"/>
      <c r="P10" s="30" t="e">
        <f t="shared" si="1"/>
        <v>#REF!</v>
      </c>
      <c r="Q10" s="68" t="e">
        <f>#REF!</f>
        <v>#REF!</v>
      </c>
      <c r="R10" s="30" t="e">
        <f>#REF!</f>
        <v>#REF!</v>
      </c>
      <c r="S10" s="74" t="e">
        <f>#REF!</f>
        <v>#REF!</v>
      </c>
      <c r="T10" s="30" t="e">
        <f t="shared" ref="T10" si="11">S10/0.8*0.2</f>
        <v>#REF!</v>
      </c>
      <c r="U10" s="71" t="e">
        <f t="shared" ref="U10" si="12">SUM(P10:T10)</f>
        <v>#REF!</v>
      </c>
      <c r="V10" s="30" t="e">
        <f t="shared" si="4"/>
        <v>#REF!</v>
      </c>
      <c r="W10" s="72"/>
      <c r="X10" s="75"/>
      <c r="Y10" s="72"/>
      <c r="Z10" s="72"/>
      <c r="AA10" s="72"/>
      <c r="AB10" s="72" t="e">
        <f t="shared" ref="AB10" si="13">(U10+Y10+Z10+AA10)*0.09</f>
        <v>#REF!</v>
      </c>
      <c r="AC10" s="91">
        <v>1</v>
      </c>
      <c r="AD10" s="30" t="e">
        <f t="shared" ref="AD10" si="14">(U10+Y10+Z10+AA10+AB10)*AC10</f>
        <v>#REF!</v>
      </c>
      <c r="AE10" s="30" t="e">
        <f t="shared" ref="AE10" si="15">AD10*1.13</f>
        <v>#REF!</v>
      </c>
    </row>
    <row r="11" ht="18.75" customHeight="1" spans="1:31">
      <c r="A11" s="26" t="s">
        <v>240</v>
      </c>
      <c r="B11" s="27" t="s">
        <v>242</v>
      </c>
      <c r="C11" s="27"/>
      <c r="D11" s="21"/>
      <c r="E11" s="29"/>
      <c r="F11" s="30"/>
      <c r="G11" s="30"/>
      <c r="H11" s="25">
        <v>1</v>
      </c>
      <c r="I11" s="30"/>
      <c r="J11" s="55"/>
      <c r="K11" s="56"/>
      <c r="L11" s="24"/>
      <c r="M11" s="54"/>
      <c r="N11" s="54"/>
      <c r="O11" s="54"/>
      <c r="P11" s="30" t="e">
        <f t="shared" si="1"/>
        <v>#REF!</v>
      </c>
      <c r="Q11" s="68"/>
      <c r="R11" s="30" t="e">
        <f>#REF!</f>
        <v>#REF!</v>
      </c>
      <c r="S11" s="74" t="e">
        <f>#REF!</f>
        <v>#REF!</v>
      </c>
      <c r="T11" s="30" t="e">
        <f t="shared" si="7"/>
        <v>#REF!</v>
      </c>
      <c r="U11" s="71" t="e">
        <f t="shared" si="8"/>
        <v>#REF!</v>
      </c>
      <c r="V11" s="30" t="e">
        <f t="shared" si="4"/>
        <v>#REF!</v>
      </c>
      <c r="W11" s="72"/>
      <c r="X11" s="75"/>
      <c r="Y11" s="72"/>
      <c r="Z11" s="72"/>
      <c r="AA11" s="72"/>
      <c r="AB11" s="72" t="e">
        <f t="shared" si="0"/>
        <v>#REF!</v>
      </c>
      <c r="AC11" s="91">
        <v>1</v>
      </c>
      <c r="AD11" s="30" t="e">
        <f t="shared" si="9"/>
        <v>#REF!</v>
      </c>
      <c r="AE11" s="30" t="e">
        <f t="shared" si="10"/>
        <v>#REF!</v>
      </c>
    </row>
    <row r="12" ht="18.75" customHeight="1" spans="1:31">
      <c r="A12" s="26" t="s">
        <v>243</v>
      </c>
      <c r="B12" s="31" t="s">
        <v>244</v>
      </c>
      <c r="C12" s="31"/>
      <c r="D12" s="21"/>
      <c r="E12" s="32"/>
      <c r="F12" s="30"/>
      <c r="G12" s="30"/>
      <c r="H12" s="25" t="e">
        <f>#REF!</f>
        <v>#REF!</v>
      </c>
      <c r="I12" s="30"/>
      <c r="J12" s="54"/>
      <c r="K12" s="56"/>
      <c r="L12" s="56"/>
      <c r="M12" s="54"/>
      <c r="N12" s="54"/>
      <c r="O12" s="54"/>
      <c r="P12" s="30" t="e">
        <f t="shared" si="1"/>
        <v>#REF!</v>
      </c>
      <c r="Q12" s="30" t="e">
        <f>#REF!</f>
        <v>#REF!</v>
      </c>
      <c r="R12" s="30" t="e">
        <f>#REF!</f>
        <v>#REF!</v>
      </c>
      <c r="S12" s="69" t="e">
        <f>#REF!</f>
        <v>#REF!</v>
      </c>
      <c r="T12" s="30" t="e">
        <f t="shared" si="7"/>
        <v>#REF!</v>
      </c>
      <c r="U12" s="71" t="e">
        <f t="shared" si="8"/>
        <v>#REF!</v>
      </c>
      <c r="V12" s="30" t="e">
        <f t="shared" si="4"/>
        <v>#REF!</v>
      </c>
      <c r="W12" s="72"/>
      <c r="X12" s="75"/>
      <c r="Y12" s="30"/>
      <c r="Z12" s="72"/>
      <c r="AA12" s="72"/>
      <c r="AB12" s="72" t="e">
        <f t="shared" si="0"/>
        <v>#REF!</v>
      </c>
      <c r="AC12" s="91">
        <v>1</v>
      </c>
      <c r="AD12" s="30" t="e">
        <f t="shared" si="9"/>
        <v>#REF!</v>
      </c>
      <c r="AE12" s="30" t="e">
        <f t="shared" si="10"/>
        <v>#REF!</v>
      </c>
    </row>
    <row r="13" ht="20.25" customHeight="1" spans="1:33">
      <c r="A13" s="33" t="s">
        <v>157</v>
      </c>
      <c r="B13" s="34"/>
      <c r="C13" s="34"/>
      <c r="D13" s="35"/>
      <c r="E13" s="36"/>
      <c r="F13" s="37"/>
      <c r="G13" s="38"/>
      <c r="H13" s="39" t="e">
        <f>PRODUCT(H6:H12)</f>
        <v>#REF!</v>
      </c>
      <c r="I13" s="37"/>
      <c r="J13" s="57"/>
      <c r="K13" s="38"/>
      <c r="L13" s="38"/>
      <c r="M13" s="57"/>
      <c r="N13" s="57"/>
      <c r="O13" s="57"/>
      <c r="P13" s="38" t="e">
        <f t="shared" ref="P13:U13" si="16">SUM(P6:P12)</f>
        <v>#REF!</v>
      </c>
      <c r="Q13" s="76" t="e">
        <f t="shared" si="16"/>
        <v>#REF!</v>
      </c>
      <c r="R13" s="76" t="e">
        <f t="shared" si="16"/>
        <v>#REF!</v>
      </c>
      <c r="S13" s="76" t="e">
        <f t="shared" si="16"/>
        <v>#REF!</v>
      </c>
      <c r="T13" s="76" t="e">
        <f t="shared" si="16"/>
        <v>#REF!</v>
      </c>
      <c r="U13" s="76" t="e">
        <f t="shared" si="16"/>
        <v>#REF!</v>
      </c>
      <c r="V13" s="38"/>
      <c r="W13" s="38">
        <f>SUM(W6:W12)</f>
        <v>0</v>
      </c>
      <c r="X13" s="38"/>
      <c r="Y13" s="38">
        <f>SUM(Y6:Y12)</f>
        <v>0</v>
      </c>
      <c r="Z13" s="38">
        <f>SUM(Z5:Z12)</f>
        <v>0</v>
      </c>
      <c r="AA13" s="38">
        <f>SUM(AA5:AA12)</f>
        <v>0</v>
      </c>
      <c r="AB13" s="38" t="e">
        <f>SUM(AB5:AB12)</f>
        <v>#REF!</v>
      </c>
      <c r="AC13" s="93">
        <v>1</v>
      </c>
      <c r="AD13" s="11" t="e">
        <f>AD5</f>
        <v>#REF!</v>
      </c>
      <c r="AE13" s="11" t="e">
        <f t="shared" si="10"/>
        <v>#REF!</v>
      </c>
      <c r="AG13" s="101"/>
    </row>
    <row r="14" s="2" customFormat="1" ht="26.5" customHeight="1" spans="1:31">
      <c r="A14" s="13"/>
      <c r="B14" s="14"/>
      <c r="C14" s="14"/>
      <c r="D14" s="15"/>
      <c r="E14" s="16"/>
      <c r="F14" s="17"/>
      <c r="G14" s="17"/>
      <c r="H14" s="18"/>
      <c r="I14" s="17"/>
      <c r="J14" s="51"/>
      <c r="K14" s="52"/>
      <c r="L14" s="53"/>
      <c r="M14" s="51"/>
      <c r="N14" s="51"/>
      <c r="O14" s="51"/>
      <c r="P14" s="52"/>
      <c r="Q14" s="53"/>
      <c r="R14" s="53"/>
      <c r="S14" s="65"/>
      <c r="T14" s="53"/>
      <c r="U14" s="62"/>
      <c r="V14" s="66"/>
      <c r="W14" s="13"/>
      <c r="X14" s="67"/>
      <c r="Y14" s="13"/>
      <c r="Z14" s="86"/>
      <c r="AA14" s="86"/>
      <c r="AB14" s="87">
        <f>(U14+Y14+Z14+AA14)*0.09</f>
        <v>0</v>
      </c>
      <c r="AC14" s="88"/>
      <c r="AD14" s="89" t="e">
        <f>SUM(AD15:AD20)+Z14+AA14+AB14</f>
        <v>#REF!</v>
      </c>
      <c r="AE14" s="90" t="e">
        <f t="shared" si="10"/>
        <v>#REF!</v>
      </c>
    </row>
    <row r="15" ht="38" customHeight="1" spans="1:33">
      <c r="A15" s="26" t="s">
        <v>245</v>
      </c>
      <c r="B15" s="20" t="s">
        <v>246</v>
      </c>
      <c r="C15" s="20"/>
      <c r="D15" s="21"/>
      <c r="E15" s="22" t="s">
        <v>247</v>
      </c>
      <c r="F15" s="23">
        <v>2</v>
      </c>
      <c r="G15" s="24">
        <v>24</v>
      </c>
      <c r="H15" s="25">
        <v>1</v>
      </c>
      <c r="I15" s="30"/>
      <c r="J15" s="54"/>
      <c r="K15" s="24"/>
      <c r="L15" s="24"/>
      <c r="M15" s="54"/>
      <c r="N15" s="54"/>
      <c r="O15" s="54"/>
      <c r="P15" s="24"/>
      <c r="Q15" s="68">
        <f>+F15/G15/H15</f>
        <v>0.0833333333333333</v>
      </c>
      <c r="R15" s="30"/>
      <c r="S15" s="69"/>
      <c r="T15" s="70"/>
      <c r="U15" s="71">
        <f>SUM(P15:T15)</f>
        <v>0.0833333333333333</v>
      </c>
      <c r="V15" s="30">
        <f>U15+Y15</f>
        <v>0.0833333333333333</v>
      </c>
      <c r="W15" s="72"/>
      <c r="X15" s="73"/>
      <c r="Y15" s="72"/>
      <c r="Z15" s="72"/>
      <c r="AA15" s="72"/>
      <c r="AB15" s="72">
        <f>(U15+Y15+Z15+AA15)*0.09</f>
        <v>0.0075</v>
      </c>
      <c r="AC15" s="91">
        <v>1</v>
      </c>
      <c r="AD15" s="30">
        <f>(U15+Y15+Z15+AA15+AB15)*AC15</f>
        <v>0.0908333333333333</v>
      </c>
      <c r="AE15" s="30">
        <f t="shared" si="10"/>
        <v>0.102641666666667</v>
      </c>
      <c r="AF15" s="92"/>
      <c r="AG15" s="101"/>
    </row>
    <row r="16" ht="18.75" customHeight="1" spans="1:31">
      <c r="A16" s="3" t="s">
        <v>248</v>
      </c>
      <c r="B16" s="27" t="s">
        <v>249</v>
      </c>
      <c r="C16" s="27"/>
      <c r="D16" s="28"/>
      <c r="E16" s="29"/>
      <c r="F16" s="30"/>
      <c r="G16" s="24"/>
      <c r="H16" s="25" t="e">
        <f>#REF!</f>
        <v>#REF!</v>
      </c>
      <c r="I16" s="30"/>
      <c r="J16" s="54"/>
      <c r="K16" s="24"/>
      <c r="L16" s="24"/>
      <c r="M16" s="54"/>
      <c r="N16" s="54"/>
      <c r="O16" s="54"/>
      <c r="P16" s="30" t="e">
        <f>V15/H16-V15</f>
        <v>#REF!</v>
      </c>
      <c r="Q16" s="68" t="e">
        <f>#REF!</f>
        <v>#REF!</v>
      </c>
      <c r="R16" s="30" t="e">
        <f>#REF!</f>
        <v>#REF!</v>
      </c>
      <c r="S16" s="74" t="e">
        <f>#REF!</f>
        <v>#REF!</v>
      </c>
      <c r="T16" s="30" t="e">
        <f>S16/0.8*0.2</f>
        <v>#REF!</v>
      </c>
      <c r="U16" s="71" t="e">
        <f t="shared" ref="U16:U20" si="17">SUM(P16:T16)</f>
        <v>#REF!</v>
      </c>
      <c r="V16" s="30" t="e">
        <f>U16+Y16+V15</f>
        <v>#REF!</v>
      </c>
      <c r="W16" s="30"/>
      <c r="X16" s="75"/>
      <c r="Y16" s="30"/>
      <c r="Z16" s="30"/>
      <c r="AA16" s="30"/>
      <c r="AB16" s="72" t="e">
        <f t="shared" ref="AB16:AB20" si="18">(U16+Y16+Z16+AA16)*0.09</f>
        <v>#REF!</v>
      </c>
      <c r="AC16" s="91">
        <v>1</v>
      </c>
      <c r="AD16" s="30" t="e">
        <f>(U16+Y16+Z16+AA16+AB16)*AC16</f>
        <v>#REF!</v>
      </c>
      <c r="AE16" s="30" t="e">
        <f t="shared" si="10"/>
        <v>#REF!</v>
      </c>
    </row>
    <row r="17" ht="18.75" customHeight="1" spans="1:31">
      <c r="A17" s="26" t="s">
        <v>250</v>
      </c>
      <c r="B17" s="27" t="s">
        <v>251</v>
      </c>
      <c r="C17" s="27"/>
      <c r="D17" s="21"/>
      <c r="E17" s="29"/>
      <c r="F17" s="30"/>
      <c r="G17" s="30"/>
      <c r="H17" s="25" t="e">
        <f>#REF!</f>
        <v>#REF!</v>
      </c>
      <c r="I17" s="30"/>
      <c r="J17" s="55"/>
      <c r="K17" s="56"/>
      <c r="L17" s="24"/>
      <c r="M17" s="54"/>
      <c r="N17" s="54"/>
      <c r="O17" s="54"/>
      <c r="P17" s="30" t="e">
        <f t="shared" ref="P17:P20" si="19">V16/H17-V16</f>
        <v>#REF!</v>
      </c>
      <c r="Q17" s="30" t="e">
        <f>#REF!</f>
        <v>#REF!</v>
      </c>
      <c r="R17" s="30" t="e">
        <f>#REF!</f>
        <v>#REF!</v>
      </c>
      <c r="S17" s="74" t="e">
        <f>#REF!</f>
        <v>#REF!</v>
      </c>
      <c r="T17" s="30" t="e">
        <f t="shared" ref="T17:T20" si="20">S17/0.8*0.2</f>
        <v>#REF!</v>
      </c>
      <c r="U17" s="71" t="e">
        <f t="shared" si="17"/>
        <v>#REF!</v>
      </c>
      <c r="V17" s="30" t="e">
        <f t="shared" ref="V17:V20" si="21">U17+Y17+V16</f>
        <v>#REF!</v>
      </c>
      <c r="W17" s="72"/>
      <c r="X17" s="75"/>
      <c r="Y17" s="30"/>
      <c r="Z17" s="72"/>
      <c r="AA17" s="72"/>
      <c r="AB17" s="72" t="e">
        <f t="shared" si="18"/>
        <v>#REF!</v>
      </c>
      <c r="AC17" s="91">
        <v>1</v>
      </c>
      <c r="AD17" s="30" t="e">
        <f>(U17+Y17+Z17+AA17+AB17)*AC17</f>
        <v>#REF!</v>
      </c>
      <c r="AE17" s="30" t="e">
        <f t="shared" ref="AE17:AE21" si="22">AD17*1.13</f>
        <v>#REF!</v>
      </c>
    </row>
    <row r="18" ht="18.75" customHeight="1" spans="1:31">
      <c r="A18" s="26" t="s">
        <v>252</v>
      </c>
      <c r="B18" s="27" t="s">
        <v>253</v>
      </c>
      <c r="C18" s="27"/>
      <c r="D18" s="21"/>
      <c r="E18" s="29"/>
      <c r="F18" s="30"/>
      <c r="G18" s="30"/>
      <c r="H18" s="25">
        <v>1</v>
      </c>
      <c r="I18" s="30"/>
      <c r="J18" s="55"/>
      <c r="K18" s="56"/>
      <c r="L18" s="24"/>
      <c r="M18" s="54"/>
      <c r="N18" s="54"/>
      <c r="O18" s="54"/>
      <c r="P18" s="30" t="e">
        <f t="shared" si="19"/>
        <v>#REF!</v>
      </c>
      <c r="Q18" s="68" t="e">
        <f>#REF!</f>
        <v>#REF!</v>
      </c>
      <c r="R18" s="30"/>
      <c r="S18" s="74"/>
      <c r="T18" s="30">
        <f t="shared" si="20"/>
        <v>0</v>
      </c>
      <c r="U18" s="71" t="e">
        <f t="shared" si="17"/>
        <v>#REF!</v>
      </c>
      <c r="V18" s="30" t="e">
        <f t="shared" si="21"/>
        <v>#REF!</v>
      </c>
      <c r="W18" s="77"/>
      <c r="X18" s="75"/>
      <c r="Y18" s="30">
        <f>+W18*(1+X18)</f>
        <v>0</v>
      </c>
      <c r="Z18" s="72"/>
      <c r="AA18" s="72"/>
      <c r="AB18" s="72" t="e">
        <f t="shared" si="18"/>
        <v>#REF!</v>
      </c>
      <c r="AC18" s="91">
        <v>1</v>
      </c>
      <c r="AD18" s="30" t="e">
        <f t="shared" ref="AD18:AD20" si="23">(U18+Y18+Z18+AA18+AB18)*AC18</f>
        <v>#REF!</v>
      </c>
      <c r="AE18" s="30" t="e">
        <f t="shared" si="22"/>
        <v>#REF!</v>
      </c>
    </row>
    <row r="19" ht="18.75" customHeight="1" spans="1:31">
      <c r="A19" s="26" t="s">
        <v>254</v>
      </c>
      <c r="B19" s="27" t="s">
        <v>255</v>
      </c>
      <c r="C19" s="27"/>
      <c r="D19" s="21"/>
      <c r="E19" s="29"/>
      <c r="F19" s="30"/>
      <c r="G19" s="30"/>
      <c r="H19" s="25" t="e">
        <f>#REF!</f>
        <v>#REF!</v>
      </c>
      <c r="I19" s="30"/>
      <c r="J19" s="55"/>
      <c r="K19" s="56"/>
      <c r="L19" s="24"/>
      <c r="M19" s="54"/>
      <c r="N19" s="54"/>
      <c r="O19" s="54"/>
      <c r="P19" s="30" t="e">
        <f t="shared" si="19"/>
        <v>#REF!</v>
      </c>
      <c r="Q19" s="30" t="e">
        <f>#REF!</f>
        <v>#REF!</v>
      </c>
      <c r="R19" s="30" t="e">
        <f>#REF!</f>
        <v>#REF!</v>
      </c>
      <c r="S19" s="74" t="e">
        <f>#REF!</f>
        <v>#REF!</v>
      </c>
      <c r="T19" s="30" t="e">
        <f t="shared" si="20"/>
        <v>#REF!</v>
      </c>
      <c r="U19" s="71" t="e">
        <f t="shared" si="17"/>
        <v>#REF!</v>
      </c>
      <c r="V19" s="30" t="e">
        <f t="shared" si="21"/>
        <v>#REF!</v>
      </c>
      <c r="W19" s="72"/>
      <c r="X19" s="75"/>
      <c r="Y19" s="72"/>
      <c r="Z19" s="72"/>
      <c r="AA19" s="72"/>
      <c r="AB19" s="72" t="e">
        <f t="shared" si="18"/>
        <v>#REF!</v>
      </c>
      <c r="AC19" s="91">
        <v>1</v>
      </c>
      <c r="AD19" s="30" t="e">
        <f t="shared" si="23"/>
        <v>#REF!</v>
      </c>
      <c r="AE19" s="30" t="e">
        <f t="shared" si="22"/>
        <v>#REF!</v>
      </c>
    </row>
    <row r="20" ht="18.75" customHeight="1" spans="1:31">
      <c r="A20" s="26" t="s">
        <v>256</v>
      </c>
      <c r="B20" s="31" t="s">
        <v>257</v>
      </c>
      <c r="C20" s="31"/>
      <c r="D20" s="21"/>
      <c r="E20" s="32"/>
      <c r="F20" s="30"/>
      <c r="G20" s="30"/>
      <c r="H20" s="25" t="e">
        <f>#REF!</f>
        <v>#REF!</v>
      </c>
      <c r="I20" s="30"/>
      <c r="J20" s="54"/>
      <c r="K20" s="56"/>
      <c r="L20" s="56"/>
      <c r="M20" s="54"/>
      <c r="N20" s="54"/>
      <c r="O20" s="54"/>
      <c r="P20" s="30" t="e">
        <f t="shared" si="19"/>
        <v>#REF!</v>
      </c>
      <c r="Q20" s="30" t="e">
        <f>#REF!</f>
        <v>#REF!</v>
      </c>
      <c r="R20" s="30" t="e">
        <f>#REF!</f>
        <v>#REF!</v>
      </c>
      <c r="S20" s="69" t="e">
        <f>#REF!</f>
        <v>#REF!</v>
      </c>
      <c r="T20" s="30" t="e">
        <f t="shared" si="20"/>
        <v>#REF!</v>
      </c>
      <c r="U20" s="71" t="e">
        <f t="shared" si="17"/>
        <v>#REF!</v>
      </c>
      <c r="V20" s="30" t="e">
        <f t="shared" si="21"/>
        <v>#REF!</v>
      </c>
      <c r="W20" s="72"/>
      <c r="X20" s="75"/>
      <c r="Y20" s="30"/>
      <c r="Z20" s="72"/>
      <c r="AA20" s="72"/>
      <c r="AB20" s="72" t="e">
        <f t="shared" si="18"/>
        <v>#REF!</v>
      </c>
      <c r="AC20" s="91">
        <v>1</v>
      </c>
      <c r="AD20" s="30" t="e">
        <f t="shared" si="23"/>
        <v>#REF!</v>
      </c>
      <c r="AE20" s="30" t="e">
        <f t="shared" si="22"/>
        <v>#REF!</v>
      </c>
    </row>
    <row r="21" ht="20.25" customHeight="1" spans="1:33">
      <c r="A21" s="33" t="s">
        <v>157</v>
      </c>
      <c r="B21" s="34"/>
      <c r="C21" s="34"/>
      <c r="D21" s="35"/>
      <c r="E21" s="36"/>
      <c r="F21" s="37"/>
      <c r="G21" s="38"/>
      <c r="H21" s="39" t="e">
        <f>PRODUCT(H15:H20)</f>
        <v>#REF!</v>
      </c>
      <c r="I21" s="37"/>
      <c r="J21" s="57"/>
      <c r="K21" s="38"/>
      <c r="L21" s="38"/>
      <c r="M21" s="57"/>
      <c r="N21" s="57"/>
      <c r="O21" s="57"/>
      <c r="P21" s="38" t="e">
        <f t="shared" ref="P21:U21" si="24">SUM(P15:P20)</f>
        <v>#REF!</v>
      </c>
      <c r="Q21" s="76" t="e">
        <f t="shared" si="24"/>
        <v>#REF!</v>
      </c>
      <c r="R21" s="76" t="e">
        <f t="shared" si="24"/>
        <v>#REF!</v>
      </c>
      <c r="S21" s="76" t="e">
        <f t="shared" si="24"/>
        <v>#REF!</v>
      </c>
      <c r="T21" s="76" t="e">
        <f t="shared" si="24"/>
        <v>#REF!</v>
      </c>
      <c r="U21" s="76" t="e">
        <f t="shared" si="24"/>
        <v>#REF!</v>
      </c>
      <c r="V21" s="38"/>
      <c r="W21" s="38">
        <f>SUM(W15:W20)</f>
        <v>0</v>
      </c>
      <c r="X21" s="38"/>
      <c r="Y21" s="38">
        <f>SUM(Y15:Y20)</f>
        <v>0</v>
      </c>
      <c r="Z21" s="38">
        <f>SUM(Z14:Z20)</f>
        <v>0</v>
      </c>
      <c r="AA21" s="38">
        <f>SUM(AA14:AA20)</f>
        <v>0</v>
      </c>
      <c r="AB21" s="38" t="e">
        <f>SUM(AB14:AB20)</f>
        <v>#REF!</v>
      </c>
      <c r="AC21" s="93">
        <v>1</v>
      </c>
      <c r="AD21" s="11" t="e">
        <f>AD14</f>
        <v>#REF!</v>
      </c>
      <c r="AE21" s="11" t="e">
        <f t="shared" si="22"/>
        <v>#REF!</v>
      </c>
      <c r="AG21" s="101"/>
    </row>
    <row r="22" ht="20.25" customHeight="1" spans="1:33">
      <c r="A22" s="40"/>
      <c r="B22" s="34"/>
      <c r="C22" s="34"/>
      <c r="D22" s="35"/>
      <c r="E22" s="36"/>
      <c r="F22" s="37"/>
      <c r="G22" s="38"/>
      <c r="H22" s="39"/>
      <c r="I22" s="37"/>
      <c r="J22" s="57"/>
      <c r="K22" s="38"/>
      <c r="L22" s="38"/>
      <c r="M22" s="57"/>
      <c r="N22" s="57"/>
      <c r="O22" s="57"/>
      <c r="P22" s="38"/>
      <c r="Q22" s="76"/>
      <c r="R22" s="76"/>
      <c r="S22" s="78"/>
      <c r="T22" s="76"/>
      <c r="U22" s="76"/>
      <c r="V22" s="79"/>
      <c r="W22" s="79"/>
      <c r="X22" s="79"/>
      <c r="Y22" s="79"/>
      <c r="Z22" s="79"/>
      <c r="AA22" s="79"/>
      <c r="AB22" s="38"/>
      <c r="AC22" s="94"/>
      <c r="AD22" s="95"/>
      <c r="AE22" s="95"/>
      <c r="AG22" s="101"/>
    </row>
    <row r="23" s="2" customFormat="1" ht="16.5" customHeight="1" spans="1:31">
      <c r="A23" s="13" t="s">
        <v>258</v>
      </c>
      <c r="B23" s="41" t="s">
        <v>259</v>
      </c>
      <c r="C23" s="41"/>
      <c r="D23" s="42"/>
      <c r="E23" s="43" t="s">
        <v>260</v>
      </c>
      <c r="F23" s="44"/>
      <c r="G23" s="44"/>
      <c r="H23" s="45"/>
      <c r="I23" s="44"/>
      <c r="J23" s="58"/>
      <c r="K23" s="59"/>
      <c r="L23" s="60"/>
      <c r="M23" s="58"/>
      <c r="N23" s="58"/>
      <c r="O23" s="58"/>
      <c r="P23" s="59"/>
      <c r="Q23" s="60"/>
      <c r="R23" s="60"/>
      <c r="S23" s="80"/>
      <c r="T23" s="60"/>
      <c r="U23" s="81"/>
      <c r="V23" s="82"/>
      <c r="W23" s="83"/>
      <c r="X23" s="84"/>
      <c r="Y23" s="83"/>
      <c r="Z23" s="96"/>
      <c r="AA23" s="96"/>
      <c r="AB23" s="97"/>
      <c r="AC23" s="98"/>
      <c r="AD23" s="99"/>
      <c r="AE23" s="100"/>
    </row>
    <row r="24" ht="27.75" customHeight="1" spans="1:33">
      <c r="A24" s="19">
        <v>3.1</v>
      </c>
      <c r="B24" s="20" t="s">
        <v>261</v>
      </c>
      <c r="C24" s="20"/>
      <c r="D24" s="21"/>
      <c r="E24" s="46" t="s">
        <v>262</v>
      </c>
      <c r="F24" s="23" t="e">
        <f>AD5+AD14</f>
        <v>#REF!</v>
      </c>
      <c r="G24" s="24">
        <v>4</v>
      </c>
      <c r="H24" s="25">
        <v>1</v>
      </c>
      <c r="I24" s="30"/>
      <c r="J24" s="54"/>
      <c r="K24" s="24"/>
      <c r="L24" s="24"/>
      <c r="M24" s="54"/>
      <c r="N24" s="54"/>
      <c r="O24" s="54"/>
      <c r="P24" s="24"/>
      <c r="Q24" s="68" t="e">
        <f>+F24/G24/H24</f>
        <v>#REF!</v>
      </c>
      <c r="R24" s="30"/>
      <c r="S24" s="69"/>
      <c r="T24" s="70"/>
      <c r="U24" s="71" t="e">
        <f>SUM(P24:T24)</f>
        <v>#REF!</v>
      </c>
      <c r="V24" s="30" t="e">
        <f>U24+Y24</f>
        <v>#REF!</v>
      </c>
      <c r="W24" s="72"/>
      <c r="X24" s="73"/>
      <c r="Y24" s="72"/>
      <c r="Z24" s="72"/>
      <c r="AA24" s="72"/>
      <c r="AB24" s="72" t="e">
        <f>(U24+Y24+Z24+AA24)*0.09</f>
        <v>#REF!</v>
      </c>
      <c r="AC24" s="91">
        <v>1</v>
      </c>
      <c r="AD24" s="30" t="e">
        <f>(U24+Y24+Z24+AA24+AB24)*AC24</f>
        <v>#REF!</v>
      </c>
      <c r="AE24" s="30" t="e">
        <f>AD24*1.13</f>
        <v>#REF!</v>
      </c>
      <c r="AF24" s="92"/>
      <c r="AG24" s="101"/>
    </row>
    <row r="25" ht="18.75" customHeight="1" spans="1:31">
      <c r="A25" s="26" t="s">
        <v>263</v>
      </c>
      <c r="B25" s="27" t="s">
        <v>264</v>
      </c>
      <c r="C25" s="27"/>
      <c r="D25" s="28"/>
      <c r="E25" s="29"/>
      <c r="F25" s="30"/>
      <c r="G25" s="24"/>
      <c r="H25" s="25" t="e">
        <f>#REF!</f>
        <v>#REF!</v>
      </c>
      <c r="I25" s="30"/>
      <c r="J25" s="54"/>
      <c r="K25" s="24"/>
      <c r="L25" s="24"/>
      <c r="M25" s="54"/>
      <c r="N25" s="54"/>
      <c r="O25" s="54"/>
      <c r="P25" s="30" t="e">
        <f>V24/H25-V24</f>
        <v>#REF!</v>
      </c>
      <c r="Q25" s="68" t="e">
        <f>#REF!</f>
        <v>#REF!</v>
      </c>
      <c r="R25" s="30" t="e">
        <f>#REF!</f>
        <v>#REF!</v>
      </c>
      <c r="S25" s="74" t="e">
        <f>#REF!</f>
        <v>#REF!</v>
      </c>
      <c r="T25" s="30" t="e">
        <f>S25/0.8*0.2</f>
        <v>#REF!</v>
      </c>
      <c r="U25" s="71" t="e">
        <f t="shared" ref="U25:U28" si="25">SUM(P25:T25)</f>
        <v>#REF!</v>
      </c>
      <c r="V25" s="30" t="e">
        <f>U25+Y25+V24</f>
        <v>#REF!</v>
      </c>
      <c r="W25" s="30"/>
      <c r="X25" s="75"/>
      <c r="Y25" s="30"/>
      <c r="Z25" s="30"/>
      <c r="AA25" s="30"/>
      <c r="AB25" s="72" t="e">
        <f t="shared" ref="AB25:AB28" si="26">(U25+Y25+Z25+AA25)*0.09</f>
        <v>#REF!</v>
      </c>
      <c r="AC25" s="91">
        <v>1</v>
      </c>
      <c r="AD25" s="30" t="e">
        <f>(U25+Y25+Z25+AA25+AB25)*AC25</f>
        <v>#REF!</v>
      </c>
      <c r="AE25" s="30" t="e">
        <f>AD25*1.13</f>
        <v>#REF!</v>
      </c>
    </row>
    <row r="26" ht="18.75" customHeight="1" spans="1:31">
      <c r="A26" s="26" t="s">
        <v>265</v>
      </c>
      <c r="B26" s="27" t="s">
        <v>242</v>
      </c>
      <c r="C26" s="27"/>
      <c r="D26" s="21"/>
      <c r="E26" s="29"/>
      <c r="F26" s="30"/>
      <c r="G26" s="30"/>
      <c r="H26" s="25" t="e">
        <f>#REF!</f>
        <v>#REF!</v>
      </c>
      <c r="I26" s="30"/>
      <c r="J26" s="55"/>
      <c r="K26" s="56"/>
      <c r="L26" s="24"/>
      <c r="M26" s="54"/>
      <c r="N26" s="54"/>
      <c r="O26" s="54"/>
      <c r="P26" s="30" t="e">
        <f t="shared" ref="P26:P28" si="27">V25/H26-V25</f>
        <v>#REF!</v>
      </c>
      <c r="Q26" s="68" t="e">
        <f>#REF!</f>
        <v>#REF!</v>
      </c>
      <c r="R26" s="30" t="e">
        <f>#REF!</f>
        <v>#REF!</v>
      </c>
      <c r="S26" s="74" t="e">
        <f>#REF!</f>
        <v>#REF!</v>
      </c>
      <c r="T26" s="30" t="e">
        <f t="shared" ref="T26:T28" si="28">S26/0.8*0.2</f>
        <v>#REF!</v>
      </c>
      <c r="U26" s="71" t="e">
        <f t="shared" si="25"/>
        <v>#REF!</v>
      </c>
      <c r="V26" s="30" t="e">
        <f t="shared" ref="V26:V28" si="29">U26+Y26+V25</f>
        <v>#REF!</v>
      </c>
      <c r="W26" s="72"/>
      <c r="X26" s="75"/>
      <c r="Y26" s="72"/>
      <c r="Z26" s="72"/>
      <c r="AA26" s="72"/>
      <c r="AB26" s="72" t="e">
        <f t="shared" si="26"/>
        <v>#REF!</v>
      </c>
      <c r="AC26" s="91">
        <v>1</v>
      </c>
      <c r="AD26" s="30" t="e">
        <f t="shared" ref="AD26:AD28" si="30">(U26+Y26+Z26+AA26+AB26)*AC26</f>
        <v>#REF!</v>
      </c>
      <c r="AE26" s="30" t="e">
        <f t="shared" ref="AE26:AE29" si="31">AD26*1.13</f>
        <v>#REF!</v>
      </c>
    </row>
    <row r="27" ht="18.75" customHeight="1" spans="1:31">
      <c r="A27" s="26" t="s">
        <v>266</v>
      </c>
      <c r="B27" s="31" t="s">
        <v>267</v>
      </c>
      <c r="C27" s="31"/>
      <c r="D27" s="21"/>
      <c r="E27" s="32"/>
      <c r="F27" s="30"/>
      <c r="G27" s="30"/>
      <c r="H27" s="25" t="e">
        <f>#REF!</f>
        <v>#REF!</v>
      </c>
      <c r="I27" s="30"/>
      <c r="J27" s="54"/>
      <c r="K27" s="56"/>
      <c r="L27" s="56"/>
      <c r="M27" s="54"/>
      <c r="N27" s="54"/>
      <c r="O27" s="54"/>
      <c r="P27" s="30" t="e">
        <f t="shared" si="27"/>
        <v>#REF!</v>
      </c>
      <c r="Q27" s="30" t="e">
        <f>#REF!</f>
        <v>#REF!</v>
      </c>
      <c r="R27" s="30" t="e">
        <f>#REF!</f>
        <v>#REF!</v>
      </c>
      <c r="S27" s="69" t="e">
        <f>#REF!</f>
        <v>#REF!</v>
      </c>
      <c r="T27" s="30" t="e">
        <f t="shared" si="28"/>
        <v>#REF!</v>
      </c>
      <c r="U27" s="71" t="e">
        <f t="shared" si="25"/>
        <v>#REF!</v>
      </c>
      <c r="V27" s="30" t="e">
        <f t="shared" si="29"/>
        <v>#REF!</v>
      </c>
      <c r="W27" s="72"/>
      <c r="X27" s="75"/>
      <c r="Y27" s="30"/>
      <c r="Z27" s="72"/>
      <c r="AA27" s="72"/>
      <c r="AB27" s="72" t="e">
        <f t="shared" si="26"/>
        <v>#REF!</v>
      </c>
      <c r="AC27" s="91">
        <v>1</v>
      </c>
      <c r="AD27" s="30" t="e">
        <f t="shared" si="30"/>
        <v>#REF!</v>
      </c>
      <c r="AE27" s="30" t="e">
        <f t="shared" si="31"/>
        <v>#REF!</v>
      </c>
    </row>
    <row r="28" ht="18.75" customHeight="1" spans="1:31">
      <c r="A28" s="26" t="s">
        <v>268</v>
      </c>
      <c r="B28" s="27" t="s">
        <v>269</v>
      </c>
      <c r="C28" s="27"/>
      <c r="D28" s="21"/>
      <c r="E28" s="32"/>
      <c r="F28" s="30"/>
      <c r="G28" s="30"/>
      <c r="H28" s="25" t="e">
        <f>#REF!</f>
        <v>#REF!</v>
      </c>
      <c r="I28" s="30"/>
      <c r="J28" s="54"/>
      <c r="K28" s="56"/>
      <c r="L28" s="56"/>
      <c r="M28" s="54"/>
      <c r="N28" s="54"/>
      <c r="O28" s="54"/>
      <c r="P28" s="30" t="e">
        <f t="shared" si="27"/>
        <v>#REF!</v>
      </c>
      <c r="Q28" s="68" t="e">
        <f>#REF!</f>
        <v>#REF!</v>
      </c>
      <c r="R28" s="30" t="e">
        <f>#REF!</f>
        <v>#REF!</v>
      </c>
      <c r="S28" s="69" t="e">
        <f>#REF!</f>
        <v>#REF!</v>
      </c>
      <c r="T28" s="30" t="e">
        <f t="shared" si="28"/>
        <v>#REF!</v>
      </c>
      <c r="U28" s="71" t="e">
        <f t="shared" si="25"/>
        <v>#REF!</v>
      </c>
      <c r="V28" s="30" t="e">
        <f t="shared" si="29"/>
        <v>#REF!</v>
      </c>
      <c r="W28" s="72"/>
      <c r="X28" s="75"/>
      <c r="Y28" s="30"/>
      <c r="Z28" s="72"/>
      <c r="AA28" s="72"/>
      <c r="AB28" s="72" t="e">
        <f t="shared" si="26"/>
        <v>#REF!</v>
      </c>
      <c r="AC28" s="91">
        <v>1</v>
      </c>
      <c r="AD28" s="30" t="e">
        <f t="shared" si="30"/>
        <v>#REF!</v>
      </c>
      <c r="AE28" s="30" t="e">
        <f t="shared" si="31"/>
        <v>#REF!</v>
      </c>
    </row>
    <row r="29" ht="20.25" customHeight="1" spans="1:33">
      <c r="A29" s="33" t="s">
        <v>157</v>
      </c>
      <c r="B29" s="34"/>
      <c r="C29" s="34"/>
      <c r="D29" s="35"/>
      <c r="E29" s="36"/>
      <c r="F29" s="37"/>
      <c r="G29" s="38"/>
      <c r="H29" s="39" t="e">
        <f>PRODUCT(H24:H28)</f>
        <v>#REF!</v>
      </c>
      <c r="I29" s="37"/>
      <c r="J29" s="57"/>
      <c r="K29" s="38"/>
      <c r="L29" s="38"/>
      <c r="M29" s="57"/>
      <c r="N29" s="57"/>
      <c r="O29" s="57"/>
      <c r="P29" s="38" t="e">
        <f t="shared" ref="P29:U29" si="32">SUM(P24:P28)</f>
        <v>#REF!</v>
      </c>
      <c r="Q29" s="76" t="e">
        <f t="shared" si="32"/>
        <v>#REF!</v>
      </c>
      <c r="R29" s="76" t="e">
        <f t="shared" si="32"/>
        <v>#REF!</v>
      </c>
      <c r="S29" s="76" t="e">
        <f t="shared" si="32"/>
        <v>#REF!</v>
      </c>
      <c r="T29" s="76" t="e">
        <f t="shared" si="32"/>
        <v>#REF!</v>
      </c>
      <c r="U29" s="76" t="e">
        <f t="shared" si="32"/>
        <v>#REF!</v>
      </c>
      <c r="V29" s="38"/>
      <c r="W29" s="38">
        <f>SUM(W24:W28)</f>
        <v>0</v>
      </c>
      <c r="X29" s="38"/>
      <c r="Y29" s="38">
        <f>SUM(Y24:Y28)</f>
        <v>0</v>
      </c>
      <c r="Z29" s="38">
        <f>SUM(Z23:Z28)</f>
        <v>0</v>
      </c>
      <c r="AA29" s="38">
        <f>SUM(AA23:AA28)</f>
        <v>0</v>
      </c>
      <c r="AB29" s="38" t="e">
        <f>SUM(AB23:AB28)</f>
        <v>#REF!</v>
      </c>
      <c r="AC29" s="93">
        <v>1</v>
      </c>
      <c r="AD29" s="11" t="e">
        <f>#REF!</f>
        <v>#REF!</v>
      </c>
      <c r="AE29" s="11" t="e">
        <f t="shared" si="31"/>
        <v>#REF!</v>
      </c>
      <c r="AG29" s="101"/>
    </row>
    <row r="30" ht="20.25" customHeight="1" spans="1:33">
      <c r="A30" s="33"/>
      <c r="B30" s="34"/>
      <c r="C30" s="34"/>
      <c r="D30" s="35"/>
      <c r="E30" s="36"/>
      <c r="F30" s="37"/>
      <c r="G30" s="38"/>
      <c r="H30" s="39"/>
      <c r="I30" s="37"/>
      <c r="J30" s="57"/>
      <c r="K30" s="38"/>
      <c r="L30" s="38"/>
      <c r="M30" s="57"/>
      <c r="N30" s="57"/>
      <c r="O30" s="57"/>
      <c r="P30" s="38"/>
      <c r="Q30" s="76"/>
      <c r="R30" s="76"/>
      <c r="S30" s="76"/>
      <c r="T30" s="76"/>
      <c r="U30" s="76"/>
      <c r="V30" s="38"/>
      <c r="W30" s="38"/>
      <c r="X30" s="38"/>
      <c r="Y30" s="38"/>
      <c r="Z30" s="38"/>
      <c r="AA30" s="38"/>
      <c r="AB30" s="38"/>
      <c r="AC30" s="93"/>
      <c r="AD30" s="11"/>
      <c r="AE30" s="11"/>
      <c r="AG30" s="101"/>
    </row>
  </sheetData>
  <mergeCells count="4">
    <mergeCell ref="A1:AE1"/>
    <mergeCell ref="A13:B13"/>
    <mergeCell ref="A21:B21"/>
    <mergeCell ref="A29:B29"/>
  </mergeCells>
  <pageMargins left="0.708661417322835" right="0.708661417322835" top="0.748031496062992" bottom="0.748031496062992" header="0.31496062992126" footer="0.31496062992126"/>
  <pageSetup paperSize="9" scale="75" orientation="landscape"/>
  <headerFooter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6"/>
  <sheetViews>
    <sheetView topLeftCell="A7" workbookViewId="0">
      <selection activeCell="A4" sqref="A4:A26"/>
    </sheetView>
  </sheetViews>
  <sheetFormatPr defaultColWidth="9" defaultRowHeight="13.5" outlineLevelCol="3"/>
  <cols>
    <col min="1" max="1" width="23.5416666666667" customWidth="1"/>
    <col min="2" max="2" width="13.5416666666667" customWidth="1"/>
  </cols>
  <sheetData>
    <row r="3" spans="1:4">
      <c r="A3" t="s">
        <v>270</v>
      </c>
      <c r="B3" t="s">
        <v>271</v>
      </c>
      <c r="D3" t="s">
        <v>272</v>
      </c>
    </row>
    <row r="4" spans="1:4">
      <c r="A4" t="s">
        <v>272</v>
      </c>
      <c r="B4" s="1">
        <v>2.77272409935897</v>
      </c>
      <c r="D4" t="s">
        <v>273</v>
      </c>
    </row>
    <row r="5" spans="1:4">
      <c r="A5" t="s">
        <v>273</v>
      </c>
      <c r="B5" s="1">
        <v>11.129188409359</v>
      </c>
      <c r="D5" t="s">
        <v>274</v>
      </c>
    </row>
    <row r="6" spans="1:4">
      <c r="A6" t="s">
        <v>274</v>
      </c>
      <c r="B6" s="1">
        <v>4.25827799358974</v>
      </c>
      <c r="D6" t="s">
        <v>275</v>
      </c>
    </row>
    <row r="7" spans="1:4">
      <c r="A7" t="s">
        <v>275</v>
      </c>
      <c r="B7" s="1">
        <v>66.0854546410256</v>
      </c>
      <c r="D7" t="s">
        <v>276</v>
      </c>
    </row>
    <row r="8" spans="1:4">
      <c r="A8" t="s">
        <v>276</v>
      </c>
      <c r="B8" s="1">
        <v>17.5</v>
      </c>
      <c r="D8" t="s">
        <v>277</v>
      </c>
    </row>
    <row r="9" spans="1:4">
      <c r="A9" t="s">
        <v>277</v>
      </c>
      <c r="B9" s="1">
        <v>1.1218198974359</v>
      </c>
      <c r="D9" t="s">
        <v>278</v>
      </c>
    </row>
    <row r="10" spans="1:4">
      <c r="A10" t="s">
        <v>278</v>
      </c>
      <c r="B10" s="1">
        <v>16.1105138589744</v>
      </c>
      <c r="D10" t="s">
        <v>279</v>
      </c>
    </row>
    <row r="11" spans="1:4">
      <c r="A11" t="s">
        <v>279</v>
      </c>
      <c r="B11" s="1">
        <v>0.520188730769231</v>
      </c>
      <c r="D11" t="s">
        <v>280</v>
      </c>
    </row>
    <row r="12" spans="1:4">
      <c r="A12" t="s">
        <v>280</v>
      </c>
      <c r="B12" s="1">
        <v>1.47901523076923</v>
      </c>
      <c r="D12" t="s">
        <v>281</v>
      </c>
    </row>
    <row r="13" spans="1:4">
      <c r="A13" t="s">
        <v>281</v>
      </c>
      <c r="B13" s="1">
        <v>4.25827799358974</v>
      </c>
      <c r="D13" t="s">
        <v>282</v>
      </c>
    </row>
    <row r="14" spans="1:4">
      <c r="A14" t="s">
        <v>282</v>
      </c>
      <c r="B14" s="1">
        <v>15</v>
      </c>
      <c r="D14" t="s">
        <v>283</v>
      </c>
    </row>
    <row r="15" spans="1:4">
      <c r="A15" t="s">
        <v>283</v>
      </c>
      <c r="B15" s="1">
        <v>3.13400512820513</v>
      </c>
      <c r="D15" t="s">
        <v>284</v>
      </c>
    </row>
    <row r="16" spans="1:4">
      <c r="A16" t="s">
        <v>284</v>
      </c>
      <c r="B16" s="1">
        <v>10.62</v>
      </c>
      <c r="D16" t="s">
        <v>285</v>
      </c>
    </row>
    <row r="17" spans="1:4">
      <c r="A17" t="s">
        <v>285</v>
      </c>
      <c r="B17" s="1">
        <v>148.026461538462</v>
      </c>
      <c r="D17" t="s">
        <v>286</v>
      </c>
    </row>
    <row r="18" spans="1:4">
      <c r="A18" t="s">
        <v>286</v>
      </c>
      <c r="B18" s="1">
        <v>11</v>
      </c>
      <c r="D18" t="s">
        <v>287</v>
      </c>
    </row>
    <row r="19" spans="1:4">
      <c r="A19" t="s">
        <v>287</v>
      </c>
      <c r="B19" s="1">
        <v>16.1105138589744</v>
      </c>
      <c r="D19" t="s">
        <v>288</v>
      </c>
    </row>
    <row r="20" spans="1:4">
      <c r="A20" t="s">
        <v>288</v>
      </c>
      <c r="B20" s="1">
        <v>32</v>
      </c>
      <c r="D20" t="s">
        <v>289</v>
      </c>
    </row>
    <row r="21" spans="1:4">
      <c r="A21" t="s">
        <v>289</v>
      </c>
      <c r="B21" s="1">
        <v>52.222954</v>
      </c>
      <c r="D21" t="s">
        <v>290</v>
      </c>
    </row>
    <row r="22" spans="1:4">
      <c r="A22" t="s">
        <v>290</v>
      </c>
      <c r="B22" s="1">
        <v>8.1</v>
      </c>
      <c r="D22" t="s">
        <v>291</v>
      </c>
    </row>
    <row r="23" spans="1:4">
      <c r="A23" t="s">
        <v>291</v>
      </c>
      <c r="B23" s="1">
        <v>26</v>
      </c>
      <c r="D23" t="s">
        <v>292</v>
      </c>
    </row>
    <row r="24" spans="1:4">
      <c r="A24" t="s">
        <v>292</v>
      </c>
      <c r="B24" s="1">
        <v>3.02065734265734</v>
      </c>
      <c r="D24" t="s">
        <v>293</v>
      </c>
    </row>
    <row r="25" spans="1:4">
      <c r="A25" t="s">
        <v>293</v>
      </c>
      <c r="B25" s="1">
        <v>10.62</v>
      </c>
      <c r="D25" t="s">
        <v>294</v>
      </c>
    </row>
    <row r="26" spans="1:2">
      <c r="A26" t="s">
        <v>294</v>
      </c>
      <c r="B26" s="1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中框高光版-蓝色、黄色</vt:lpstr>
      <vt:lpstr>成本单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黄慧敏</dc:creator>
  <cp:lastModifiedBy>南方往事</cp:lastModifiedBy>
  <dcterms:created xsi:type="dcterms:W3CDTF">2006-09-16T00:00:00Z</dcterms:created>
  <cp:lastPrinted>2021-03-08T04:00:00Z</cp:lastPrinted>
  <dcterms:modified xsi:type="dcterms:W3CDTF">2023-06-06T08:10:05Z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E99EF84C8ABE46BFA75479E507314A44_12</vt:lpwstr>
  </property>
</Properties>
</file>